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概算表" sheetId="2" r:id="rId1"/>
  </sheets>
  <definedNames>
    <definedName name="_xlnm.Print_Area" localSheetId="0">总概算表!$A$1:$M$33</definedName>
    <definedName name="_xlnm.Print_Titles" localSheetId="0">总概算表!$1:$4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</t>
        </r>
      </text>
    </comment>
  </commentList>
</comments>
</file>

<file path=xl/sharedStrings.xml><?xml version="1.0" encoding="utf-8"?>
<sst xmlns="http://schemas.openxmlformats.org/spreadsheetml/2006/main" count="121" uniqueCount="85">
  <si>
    <t>总 概 算 表</t>
  </si>
  <si>
    <t>建设项目：重庆市璧山区河边镇复兴村2组吴兴成屋后滑坡应急治理工程</t>
  </si>
  <si>
    <t>序号</t>
  </si>
  <si>
    <t>工程或费用名称</t>
  </si>
  <si>
    <t>概算造价（万元）</t>
  </si>
  <si>
    <t>技术经济指标</t>
  </si>
  <si>
    <t>占总投资额（%）</t>
  </si>
  <si>
    <t>备注</t>
  </si>
  <si>
    <t>建筑工程费</t>
  </si>
  <si>
    <t>安装工程费</t>
  </si>
  <si>
    <t>设备购置费</t>
  </si>
  <si>
    <t>其他费用</t>
  </si>
  <si>
    <t>合计</t>
  </si>
  <si>
    <t>指标名称</t>
  </si>
  <si>
    <t>单位</t>
  </si>
  <si>
    <t>数量</t>
  </si>
  <si>
    <t>单位造价
（元）</t>
  </si>
  <si>
    <t>一</t>
  </si>
  <si>
    <t>工程费用</t>
  </si>
  <si>
    <t>m3</t>
  </si>
  <si>
    <t>二</t>
  </si>
  <si>
    <t>工程建设其他费</t>
  </si>
  <si>
    <t>m</t>
  </si>
  <si>
    <t>（一）</t>
  </si>
  <si>
    <t>土地征地补偿费</t>
  </si>
  <si>
    <t>项</t>
  </si>
  <si>
    <t>根据建设单位回复不计算</t>
  </si>
  <si>
    <t>（二）</t>
  </si>
  <si>
    <t>与项目建设有关的其他费用</t>
  </si>
  <si>
    <t>1</t>
  </si>
  <si>
    <t>项目建设管理费</t>
  </si>
  <si>
    <t>2021概算编规</t>
  </si>
  <si>
    <t>2</t>
  </si>
  <si>
    <t>工程建设监理费</t>
  </si>
  <si>
    <t>2021概算编规下浮20%</t>
  </si>
  <si>
    <t>3</t>
  </si>
  <si>
    <t>招标代理服务费</t>
  </si>
  <si>
    <t>4</t>
  </si>
  <si>
    <t>招标交易服务费</t>
  </si>
  <si>
    <t>渝价[2018]54号</t>
  </si>
  <si>
    <t>5</t>
  </si>
  <si>
    <t>勘察设计费</t>
  </si>
  <si>
    <t>按已签合同</t>
  </si>
  <si>
    <t>6</t>
  </si>
  <si>
    <t>7</t>
  </si>
  <si>
    <t>咨询费</t>
  </si>
  <si>
    <t>（1）</t>
  </si>
  <si>
    <t>设计咨询费</t>
  </si>
  <si>
    <t>（2）</t>
  </si>
  <si>
    <t>工程造价咨询费</t>
  </si>
  <si>
    <t>①</t>
  </si>
  <si>
    <t>工程量清单及组价编制</t>
  </si>
  <si>
    <t>②</t>
  </si>
  <si>
    <t>工程量清单结算审核</t>
  </si>
  <si>
    <t>工程量清单施工阶段工程造价全过程控制</t>
  </si>
  <si>
    <t>基建竣工财务决算费</t>
  </si>
  <si>
    <t>渝协会[2015]36号下浮40%</t>
  </si>
  <si>
    <t>9</t>
  </si>
  <si>
    <t>工程保险费</t>
  </si>
  <si>
    <t>10</t>
  </si>
  <si>
    <t>安全生产保障费</t>
  </si>
  <si>
    <t>13</t>
  </si>
  <si>
    <t>水土保持补偿费</t>
  </si>
  <si>
    <t>渝价[2011]81号</t>
  </si>
  <si>
    <t>14</t>
  </si>
  <si>
    <t>城市建设配套费</t>
  </si>
  <si>
    <t>渝府发[2015]53号</t>
  </si>
  <si>
    <t>15</t>
  </si>
  <si>
    <t>人防易地建设费</t>
  </si>
  <si>
    <t>渝价[2010]230号</t>
  </si>
  <si>
    <t>16</t>
  </si>
  <si>
    <t>其他费</t>
  </si>
  <si>
    <t>白蚁防治费</t>
  </si>
  <si>
    <t>渝价[2013]426号</t>
  </si>
  <si>
    <t>防雷工程设计评价费</t>
  </si>
  <si>
    <t>渝价[2012]410号</t>
  </si>
  <si>
    <t>（3）</t>
  </si>
  <si>
    <t>雷电灾害风险评估费</t>
  </si>
  <si>
    <t>（4）</t>
  </si>
  <si>
    <t>....</t>
  </si>
  <si>
    <t>三</t>
  </si>
  <si>
    <t>基本预备费</t>
  </si>
  <si>
    <t>（工程费+工程建设其他费）*5%</t>
  </si>
  <si>
    <t>四</t>
  </si>
  <si>
    <t>概算总金额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</si>
</sst>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left" vertical="center" wrapText="1"/>
    </xf>
    <xf numFmtId="10" fontId="0" fillId="2" borderId="6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13.5"/>
  <cols>
    <col min="1" max="1" width="7.75" style="1" customWidth="1"/>
    <col min="2" max="2" width="18.125" style="1" customWidth="1"/>
    <col min="3" max="3" width="9.40833333333333" style="2" customWidth="1"/>
    <col min="4" max="4" width="8.78333333333333" style="2" customWidth="1"/>
    <col min="5" max="5" width="6.75" style="2" customWidth="1"/>
    <col min="6" max="6" width="12.25" style="2" customWidth="1"/>
    <col min="7" max="7" width="9.21666666666667" style="2" customWidth="1"/>
    <col min="8" max="8" width="8.875" style="1" hidden="1" customWidth="1"/>
    <col min="9" max="9" width="4.875" style="1" hidden="1" customWidth="1"/>
    <col min="10" max="10" width="10.45" style="2" hidden="1" customWidth="1"/>
    <col min="11" max="11" width="12.1916666666667" style="2" hidden="1" customWidth="1"/>
    <col min="12" max="12" width="12.625" style="1"/>
    <col min="13" max="13" width="23" style="1" customWidth="1"/>
    <col min="14" max="16384" width="9" style="1"/>
  </cols>
  <sheetData>
    <row r="1" ht="25.5" spans="1:13">
      <c r="A1" s="3" t="s">
        <v>0</v>
      </c>
      <c r="B1" s="3"/>
      <c r="C1" s="4"/>
      <c r="D1" s="4"/>
      <c r="E1" s="4"/>
      <c r="F1" s="4"/>
      <c r="G1" s="4"/>
      <c r="H1" s="3"/>
      <c r="I1" s="3"/>
      <c r="J1" s="4"/>
      <c r="K1" s="4"/>
      <c r="L1" s="3"/>
      <c r="M1" s="3"/>
    </row>
    <row r="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1" spans="1:13">
      <c r="A3" s="6" t="s">
        <v>2</v>
      </c>
      <c r="B3" s="6" t="s">
        <v>3</v>
      </c>
      <c r="C3" s="7" t="s">
        <v>4</v>
      </c>
      <c r="D3" s="8"/>
      <c r="E3" s="8"/>
      <c r="F3" s="8"/>
      <c r="G3" s="9"/>
      <c r="H3" s="10" t="s">
        <v>5</v>
      </c>
      <c r="I3" s="26"/>
      <c r="J3" s="8"/>
      <c r="K3" s="9"/>
      <c r="L3" s="6" t="s">
        <v>6</v>
      </c>
      <c r="M3" s="6" t="s">
        <v>7</v>
      </c>
    </row>
    <row r="4" ht="33" customHeight="1" spans="1:13">
      <c r="A4" s="11"/>
      <c r="B4" s="11"/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3" t="s">
        <v>13</v>
      </c>
      <c r="I4" s="13" t="s">
        <v>14</v>
      </c>
      <c r="J4" s="12" t="s">
        <v>15</v>
      </c>
      <c r="K4" s="12" t="s">
        <v>16</v>
      </c>
      <c r="L4" s="11"/>
      <c r="M4" s="11"/>
    </row>
    <row r="5" s="1" customFormat="1" ht="18" customHeight="1" spans="1:13">
      <c r="A5" s="13" t="s">
        <v>17</v>
      </c>
      <c r="B5" s="14" t="s">
        <v>18</v>
      </c>
      <c r="C5" s="12">
        <f>484826.01/10000</f>
        <v>48.482601</v>
      </c>
      <c r="D5" s="12">
        <v>0</v>
      </c>
      <c r="E5" s="12"/>
      <c r="F5" s="12"/>
      <c r="G5" s="12">
        <f>C5+D5</f>
        <v>48.482601</v>
      </c>
      <c r="H5" s="13" t="str">
        <f>B5</f>
        <v>工程费用</v>
      </c>
      <c r="I5" s="13" t="s">
        <v>19</v>
      </c>
      <c r="J5" s="12"/>
      <c r="K5" s="12" t="e">
        <f>G5/J5*10000</f>
        <v>#DIV/0!</v>
      </c>
      <c r="L5" s="27">
        <f>G5/F33</f>
        <v>0.878148032365704</v>
      </c>
      <c r="M5" s="13"/>
    </row>
    <row r="6" s="1" customFormat="1" ht="28" customHeight="1" spans="1:13">
      <c r="A6" s="13" t="s">
        <v>20</v>
      </c>
      <c r="B6" s="14" t="s">
        <v>21</v>
      </c>
      <c r="C6" s="12"/>
      <c r="D6" s="12"/>
      <c r="E6" s="12"/>
      <c r="F6" s="12">
        <f>F8+F7</f>
        <v>4.0984035829</v>
      </c>
      <c r="G6" s="12">
        <f>F6</f>
        <v>4.0984035829</v>
      </c>
      <c r="H6" s="13" t="str">
        <f>B6</f>
        <v>工程建设其他费</v>
      </c>
      <c r="I6" s="13" t="s">
        <v>22</v>
      </c>
      <c r="J6" s="12"/>
      <c r="K6" s="12" t="e">
        <f>G6/J6*10000</f>
        <v>#DIV/0!</v>
      </c>
      <c r="L6" s="27">
        <f>G6/F33</f>
        <v>0.0742329200152481</v>
      </c>
      <c r="M6" s="13"/>
    </row>
    <row r="7" s="1" customFormat="1" ht="24" customHeight="1" spans="1:13">
      <c r="A7" s="13" t="s">
        <v>23</v>
      </c>
      <c r="B7" s="14" t="s">
        <v>24</v>
      </c>
      <c r="C7" s="12"/>
      <c r="D7" s="12"/>
      <c r="E7" s="12"/>
      <c r="F7" s="12">
        <f>0.45*18000/10000</f>
        <v>0.81</v>
      </c>
      <c r="G7" s="12">
        <f>F7</f>
        <v>0.81</v>
      </c>
      <c r="H7" s="13"/>
      <c r="I7" s="13" t="s">
        <v>25</v>
      </c>
      <c r="J7" s="12">
        <v>0</v>
      </c>
      <c r="K7" s="12">
        <v>0</v>
      </c>
      <c r="L7" s="27"/>
      <c r="M7" s="28" t="s">
        <v>26</v>
      </c>
    </row>
    <row r="8" s="1" customFormat="1" ht="33" customHeight="1" spans="1:13">
      <c r="A8" s="13" t="s">
        <v>27</v>
      </c>
      <c r="B8" s="14" t="s">
        <v>28</v>
      </c>
      <c r="C8" s="12"/>
      <c r="D8" s="12"/>
      <c r="E8" s="12"/>
      <c r="F8" s="12">
        <f>F9+F10+F11+F12+F13+F15+F21+F22+F23+F14</f>
        <v>3.2884035829</v>
      </c>
      <c r="G8" s="12">
        <f>F8</f>
        <v>3.2884035829</v>
      </c>
      <c r="H8" s="13"/>
      <c r="I8" s="13" t="s">
        <v>19</v>
      </c>
      <c r="J8" s="12">
        <v>1983.1</v>
      </c>
      <c r="K8" s="12">
        <f t="shared" ref="K8:K17" si="0">G8/J8*10000</f>
        <v>16.5821369719127</v>
      </c>
      <c r="L8" s="27">
        <f>G8/F33</f>
        <v>0.0595616793733481</v>
      </c>
      <c r="M8" s="14"/>
    </row>
    <row r="9" ht="18" customHeight="1" spans="1:13">
      <c r="A9" s="15" t="s">
        <v>29</v>
      </c>
      <c r="B9" s="14" t="s">
        <v>30</v>
      </c>
      <c r="C9" s="12"/>
      <c r="D9" s="12"/>
      <c r="E9" s="12"/>
      <c r="F9" s="12">
        <f>11.9*2%</f>
        <v>0.238</v>
      </c>
      <c r="G9" s="12">
        <f t="shared" ref="G8:G18" si="1">F9</f>
        <v>0.238</v>
      </c>
      <c r="H9" s="13"/>
      <c r="I9" s="13" t="s">
        <v>19</v>
      </c>
      <c r="J9" s="12">
        <v>1983.1</v>
      </c>
      <c r="K9" s="12">
        <f t="shared" si="0"/>
        <v>1.20014119308154</v>
      </c>
      <c r="L9" s="27">
        <f>G9/F33</f>
        <v>0.0043108089787311</v>
      </c>
      <c r="M9" s="14" t="s">
        <v>31</v>
      </c>
    </row>
    <row r="10" ht="18" customHeight="1" spans="1:13">
      <c r="A10" s="15" t="s">
        <v>32</v>
      </c>
      <c r="B10" s="14" t="s">
        <v>33</v>
      </c>
      <c r="C10" s="12"/>
      <c r="D10" s="12"/>
      <c r="E10" s="12"/>
      <c r="F10" s="16">
        <f>(12/500*G5)*0.8</f>
        <v>0.9308659392</v>
      </c>
      <c r="G10" s="12">
        <f t="shared" si="1"/>
        <v>0.9308659392</v>
      </c>
      <c r="H10" s="13"/>
      <c r="I10" s="13" t="s">
        <v>19</v>
      </c>
      <c r="J10" s="12">
        <v>1983.1</v>
      </c>
      <c r="K10" s="12">
        <f t="shared" si="0"/>
        <v>4.69399394483385</v>
      </c>
      <c r="L10" s="27">
        <f>G10/F33</f>
        <v>0.0168604422214215</v>
      </c>
      <c r="M10" s="14" t="s">
        <v>34</v>
      </c>
    </row>
    <row r="11" ht="18" customHeight="1" spans="1:13">
      <c r="A11" s="15" t="s">
        <v>35</v>
      </c>
      <c r="B11" s="14" t="s">
        <v>36</v>
      </c>
      <c r="C11" s="12"/>
      <c r="D11" s="12"/>
      <c r="E11" s="12"/>
      <c r="F11" s="12">
        <f>(100*0.7%+(G5-100)*0.49%)*0.8</f>
        <v>0.35805179592</v>
      </c>
      <c r="G11" s="12">
        <f t="shared" si="1"/>
        <v>0.35805179592</v>
      </c>
      <c r="H11" s="13"/>
      <c r="I11" s="13" t="s">
        <v>19</v>
      </c>
      <c r="J11" s="12">
        <v>1983.1</v>
      </c>
      <c r="K11" s="12">
        <f t="shared" si="0"/>
        <v>1.80551558630427</v>
      </c>
      <c r="L11" s="27">
        <f>G11/F33</f>
        <v>0.00648526427186022</v>
      </c>
      <c r="M11" s="14" t="s">
        <v>34</v>
      </c>
    </row>
    <row r="12" ht="18" customHeight="1" spans="1:13">
      <c r="A12" s="15" t="s">
        <v>37</v>
      </c>
      <c r="B12" s="14" t="s">
        <v>38</v>
      </c>
      <c r="C12" s="12"/>
      <c r="D12" s="12"/>
      <c r="E12" s="12"/>
      <c r="F12" s="12">
        <f>G5*0.17%</f>
        <v>0.0824204217</v>
      </c>
      <c r="G12" s="12">
        <f t="shared" si="1"/>
        <v>0.0824204217</v>
      </c>
      <c r="H12" s="13"/>
      <c r="I12" s="13" t="s">
        <v>19</v>
      </c>
      <c r="J12" s="12">
        <v>1983.1</v>
      </c>
      <c r="K12" s="12">
        <f t="shared" si="0"/>
        <v>0.41561404719883</v>
      </c>
      <c r="L12" s="27">
        <f>G12/F33</f>
        <v>0.0014928516550217</v>
      </c>
      <c r="M12" s="14" t="s">
        <v>39</v>
      </c>
    </row>
    <row r="13" ht="18" customHeight="1" spans="1:13">
      <c r="A13" s="17" t="s">
        <v>40</v>
      </c>
      <c r="B13" s="18" t="s">
        <v>41</v>
      </c>
      <c r="C13" s="19"/>
      <c r="D13" s="19"/>
      <c r="E13" s="19"/>
      <c r="F13" s="20"/>
      <c r="G13" s="20">
        <f t="shared" si="1"/>
        <v>0</v>
      </c>
      <c r="H13" s="21"/>
      <c r="I13" s="21" t="s">
        <v>19</v>
      </c>
      <c r="J13" s="19">
        <v>1983.1</v>
      </c>
      <c r="K13" s="19">
        <f t="shared" si="0"/>
        <v>0</v>
      </c>
      <c r="L13" s="29">
        <f>G13/F33</f>
        <v>0</v>
      </c>
      <c r="M13" s="30" t="s">
        <v>42</v>
      </c>
    </row>
    <row r="14" ht="18" customHeight="1" spans="1:13">
      <c r="A14" s="17" t="s">
        <v>43</v>
      </c>
      <c r="B14" s="22"/>
      <c r="C14" s="19"/>
      <c r="D14" s="19"/>
      <c r="E14" s="19"/>
      <c r="F14" s="23"/>
      <c r="G14" s="23"/>
      <c r="H14" s="21"/>
      <c r="I14" s="21" t="s">
        <v>19</v>
      </c>
      <c r="J14" s="19">
        <v>1983.1</v>
      </c>
      <c r="K14" s="19">
        <f t="shared" si="0"/>
        <v>0</v>
      </c>
      <c r="L14" s="29">
        <f>G14/F33</f>
        <v>0</v>
      </c>
      <c r="M14" s="30" t="s">
        <v>42</v>
      </c>
    </row>
    <row r="15" ht="18" customHeight="1" spans="1:13">
      <c r="A15" s="15" t="s">
        <v>44</v>
      </c>
      <c r="B15" s="14" t="s">
        <v>45</v>
      </c>
      <c r="C15" s="12"/>
      <c r="D15" s="12"/>
      <c r="E15" s="12"/>
      <c r="F15" s="12">
        <f>F16+F17</f>
        <v>0.48870461808</v>
      </c>
      <c r="G15" s="12">
        <f t="shared" si="1"/>
        <v>0.48870461808</v>
      </c>
      <c r="H15" s="13"/>
      <c r="I15" s="13" t="s">
        <v>19</v>
      </c>
      <c r="J15" s="12">
        <v>1983.1</v>
      </c>
      <c r="K15" s="12">
        <f t="shared" si="0"/>
        <v>2.46434682103777</v>
      </c>
      <c r="L15" s="27">
        <f>G15/F33</f>
        <v>0.0088517321662463</v>
      </c>
      <c r="M15" s="14"/>
    </row>
    <row r="16" ht="18" customHeight="1" spans="1:13">
      <c r="A16" s="15" t="s">
        <v>46</v>
      </c>
      <c r="B16" s="14" t="s">
        <v>47</v>
      </c>
      <c r="C16" s="12"/>
      <c r="D16" s="12"/>
      <c r="E16" s="12"/>
      <c r="F16" s="12">
        <f>F13*10%</f>
        <v>0</v>
      </c>
      <c r="G16" s="12">
        <f t="shared" si="1"/>
        <v>0</v>
      </c>
      <c r="H16" s="13"/>
      <c r="I16" s="13" t="s">
        <v>19</v>
      </c>
      <c r="J16" s="12">
        <v>1983.1</v>
      </c>
      <c r="K16" s="12">
        <f t="shared" si="0"/>
        <v>0</v>
      </c>
      <c r="L16" s="27">
        <f>G16/F33</f>
        <v>0</v>
      </c>
      <c r="M16" s="14" t="s">
        <v>31</v>
      </c>
    </row>
    <row r="17" ht="18" customHeight="1" spans="1:13">
      <c r="A17" s="15" t="s">
        <v>48</v>
      </c>
      <c r="B17" s="14" t="s">
        <v>49</v>
      </c>
      <c r="C17" s="12"/>
      <c r="D17" s="12"/>
      <c r="E17" s="12"/>
      <c r="F17" s="12">
        <f>F18+F19</f>
        <v>0.48870461808</v>
      </c>
      <c r="G17" s="12">
        <f t="shared" si="1"/>
        <v>0.48870461808</v>
      </c>
      <c r="H17" s="13"/>
      <c r="I17" s="13" t="s">
        <v>19</v>
      </c>
      <c r="J17" s="12">
        <v>1983.1</v>
      </c>
      <c r="K17" s="12">
        <f t="shared" si="0"/>
        <v>2.46434682103777</v>
      </c>
      <c r="L17" s="27">
        <f>G17/F33</f>
        <v>0.0088517321662463</v>
      </c>
      <c r="M17" s="14"/>
    </row>
    <row r="18" ht="32" customHeight="1" spans="1:13">
      <c r="A18" s="24" t="s">
        <v>50</v>
      </c>
      <c r="B18" s="14" t="s">
        <v>51</v>
      </c>
      <c r="C18" s="12"/>
      <c r="D18" s="12"/>
      <c r="E18" s="12"/>
      <c r="F18" s="12">
        <f>G5*0.35%*0.8*2</f>
        <v>0.2715025656</v>
      </c>
      <c r="G18" s="12">
        <f t="shared" si="1"/>
        <v>0.2715025656</v>
      </c>
      <c r="H18" s="13"/>
      <c r="I18" s="13" t="s">
        <v>19</v>
      </c>
      <c r="J18" s="12">
        <v>1983.1</v>
      </c>
      <c r="K18" s="12">
        <f t="shared" ref="K18:K31" si="2">G18/J18*10000</f>
        <v>1.36908156724321</v>
      </c>
      <c r="L18" s="27">
        <f>G18/F33</f>
        <v>0.00491762898124794</v>
      </c>
      <c r="M18" s="14" t="s">
        <v>34</v>
      </c>
    </row>
    <row r="19" ht="33" customHeight="1" spans="1:13">
      <c r="A19" s="24" t="s">
        <v>52</v>
      </c>
      <c r="B19" s="14" t="s">
        <v>53</v>
      </c>
      <c r="C19" s="12"/>
      <c r="D19" s="12"/>
      <c r="E19" s="12"/>
      <c r="F19" s="12">
        <f>G5*0.56%*0.8</f>
        <v>0.21720205248</v>
      </c>
      <c r="G19" s="12">
        <f t="shared" ref="G18:G34" si="3">F19</f>
        <v>0.21720205248</v>
      </c>
      <c r="H19" s="13"/>
      <c r="I19" s="13" t="s">
        <v>19</v>
      </c>
      <c r="J19" s="12">
        <v>1983.1</v>
      </c>
      <c r="K19" s="12">
        <f t="shared" si="2"/>
        <v>1.09526525379456</v>
      </c>
      <c r="L19" s="27">
        <f>G19/F33</f>
        <v>0.00393410318499835</v>
      </c>
      <c r="M19" s="14" t="s">
        <v>34</v>
      </c>
    </row>
    <row r="20" ht="28" hidden="1" customHeight="1" spans="1:13">
      <c r="A20" s="24"/>
      <c r="B20" s="14" t="s">
        <v>54</v>
      </c>
      <c r="C20" s="12"/>
      <c r="D20" s="12"/>
      <c r="E20" s="12"/>
      <c r="F20" s="12"/>
      <c r="G20" s="12">
        <f t="shared" si="3"/>
        <v>0</v>
      </c>
      <c r="H20" s="13"/>
      <c r="I20" s="13" t="s">
        <v>19</v>
      </c>
      <c r="J20" s="12">
        <v>1983.1</v>
      </c>
      <c r="K20" s="12">
        <f t="shared" si="2"/>
        <v>0</v>
      </c>
      <c r="L20" s="27">
        <f>G20/F33</f>
        <v>0</v>
      </c>
      <c r="M20" s="14"/>
    </row>
    <row r="21" ht="27" customHeight="1" spans="1:13">
      <c r="A21" s="25">
        <v>8</v>
      </c>
      <c r="B21" s="14" t="s">
        <v>55</v>
      </c>
      <c r="C21" s="12"/>
      <c r="D21" s="12"/>
      <c r="E21" s="12"/>
      <c r="F21" s="12">
        <f>(0.3+0.3+(395-100)*0.25%)*0.6</f>
        <v>0.8025</v>
      </c>
      <c r="G21" s="12">
        <f t="shared" si="3"/>
        <v>0.8025</v>
      </c>
      <c r="H21" s="13"/>
      <c r="I21" s="13" t="s">
        <v>19</v>
      </c>
      <c r="J21" s="12">
        <v>1983.1</v>
      </c>
      <c r="K21" s="12">
        <f t="shared" si="2"/>
        <v>4.04669456910897</v>
      </c>
      <c r="L21" s="27">
        <f>G21/F33</f>
        <v>0.0145353958211416</v>
      </c>
      <c r="M21" s="14" t="s">
        <v>56</v>
      </c>
    </row>
    <row r="22" ht="18" customHeight="1" spans="1:13">
      <c r="A22" s="15" t="s">
        <v>57</v>
      </c>
      <c r="B22" s="14" t="s">
        <v>58</v>
      </c>
      <c r="C22" s="12"/>
      <c r="D22" s="12"/>
      <c r="E22" s="12"/>
      <c r="F22" s="12">
        <f>G5*0.3%</f>
        <v>0.145447803</v>
      </c>
      <c r="G22" s="12">
        <f t="shared" si="3"/>
        <v>0.145447803</v>
      </c>
      <c r="H22" s="13"/>
      <c r="I22" s="13" t="s">
        <v>19</v>
      </c>
      <c r="J22" s="12">
        <v>1983.1</v>
      </c>
      <c r="K22" s="12">
        <f t="shared" si="2"/>
        <v>0.733436553880289</v>
      </c>
      <c r="L22" s="27">
        <f>G22/F33</f>
        <v>0.00263444409709711</v>
      </c>
      <c r="M22" s="14" t="s">
        <v>31</v>
      </c>
    </row>
    <row r="23" ht="18" customHeight="1" spans="1:13">
      <c r="A23" s="15" t="s">
        <v>59</v>
      </c>
      <c r="B23" s="14" t="s">
        <v>60</v>
      </c>
      <c r="C23" s="12"/>
      <c r="D23" s="12"/>
      <c r="E23" s="12"/>
      <c r="F23" s="12">
        <f>G5*0.5%</f>
        <v>0.242413005</v>
      </c>
      <c r="G23" s="12">
        <f t="shared" si="3"/>
        <v>0.242413005</v>
      </c>
      <c r="H23" s="13"/>
      <c r="I23" s="13" t="s">
        <v>19</v>
      </c>
      <c r="J23" s="12">
        <v>1983.1</v>
      </c>
      <c r="K23" s="12">
        <f t="shared" si="2"/>
        <v>1.22239425646715</v>
      </c>
      <c r="L23" s="27">
        <f>G23/F33</f>
        <v>0.00439074016182852</v>
      </c>
      <c r="M23" s="14" t="s">
        <v>31</v>
      </c>
    </row>
    <row r="24" ht="18" hidden="1" customHeight="1" spans="1:13">
      <c r="A24" s="15" t="s">
        <v>61</v>
      </c>
      <c r="B24" s="14" t="s">
        <v>62</v>
      </c>
      <c r="C24" s="12"/>
      <c r="D24" s="12"/>
      <c r="E24" s="12"/>
      <c r="F24" s="12"/>
      <c r="G24" s="12">
        <f t="shared" si="3"/>
        <v>0</v>
      </c>
      <c r="H24" s="13"/>
      <c r="I24" s="13" t="s">
        <v>19</v>
      </c>
      <c r="J24" s="12">
        <v>1983.1</v>
      </c>
      <c r="K24" s="12">
        <f t="shared" si="2"/>
        <v>0</v>
      </c>
      <c r="L24" s="27">
        <f>G24/F33</f>
        <v>0</v>
      </c>
      <c r="M24" s="14" t="s">
        <v>63</v>
      </c>
    </row>
    <row r="25" ht="18" hidden="1" customHeight="1" spans="1:13">
      <c r="A25" s="15" t="s">
        <v>64</v>
      </c>
      <c r="B25" s="14" t="s">
        <v>65</v>
      </c>
      <c r="C25" s="12"/>
      <c r="D25" s="12"/>
      <c r="E25" s="12"/>
      <c r="F25" s="12">
        <f>J5*290/10000</f>
        <v>0</v>
      </c>
      <c r="G25" s="12">
        <f t="shared" si="3"/>
        <v>0</v>
      </c>
      <c r="H25" s="13"/>
      <c r="I25" s="13" t="s">
        <v>19</v>
      </c>
      <c r="J25" s="12">
        <v>1983.1</v>
      </c>
      <c r="K25" s="12">
        <f t="shared" si="2"/>
        <v>0</v>
      </c>
      <c r="L25" s="27">
        <f>G25/F33</f>
        <v>0</v>
      </c>
      <c r="M25" s="14" t="s">
        <v>66</v>
      </c>
    </row>
    <row r="26" ht="18" hidden="1" customHeight="1" spans="1:13">
      <c r="A26" s="15" t="s">
        <v>67</v>
      </c>
      <c r="B26" s="14" t="s">
        <v>68</v>
      </c>
      <c r="C26" s="12"/>
      <c r="D26" s="12"/>
      <c r="E26" s="12"/>
      <c r="F26" s="12">
        <f>J5*45/10000</f>
        <v>0</v>
      </c>
      <c r="G26" s="12">
        <f t="shared" si="3"/>
        <v>0</v>
      </c>
      <c r="H26" s="13"/>
      <c r="I26" s="13" t="s">
        <v>19</v>
      </c>
      <c r="J26" s="12">
        <v>1983.1</v>
      </c>
      <c r="K26" s="12">
        <f t="shared" si="2"/>
        <v>0</v>
      </c>
      <c r="L26" s="27">
        <f>G26/F33</f>
        <v>0</v>
      </c>
      <c r="M26" s="14" t="s">
        <v>69</v>
      </c>
    </row>
    <row r="27" ht="18" hidden="1" customHeight="1" spans="1:13">
      <c r="A27" s="15" t="s">
        <v>70</v>
      </c>
      <c r="B27" s="14" t="s">
        <v>71</v>
      </c>
      <c r="C27" s="12"/>
      <c r="D27" s="12"/>
      <c r="E27" s="12"/>
      <c r="F27" s="12">
        <f>SUM(F28:F31)</f>
        <v>0</v>
      </c>
      <c r="G27" s="12">
        <f t="shared" si="3"/>
        <v>0</v>
      </c>
      <c r="H27" s="13"/>
      <c r="I27" s="13" t="s">
        <v>19</v>
      </c>
      <c r="J27" s="12">
        <v>1983.1</v>
      </c>
      <c r="K27" s="12">
        <f t="shared" si="2"/>
        <v>0</v>
      </c>
      <c r="L27" s="27">
        <f>G27/F33</f>
        <v>0</v>
      </c>
      <c r="M27" s="14"/>
    </row>
    <row r="28" ht="18" hidden="1" customHeight="1" spans="1:13">
      <c r="A28" s="15" t="s">
        <v>46</v>
      </c>
      <c r="B28" s="14" t="s">
        <v>72</v>
      </c>
      <c r="C28" s="12"/>
      <c r="D28" s="12"/>
      <c r="E28" s="12"/>
      <c r="F28" s="12"/>
      <c r="G28" s="12">
        <f t="shared" si="3"/>
        <v>0</v>
      </c>
      <c r="H28" s="13"/>
      <c r="I28" s="13" t="s">
        <v>19</v>
      </c>
      <c r="J28" s="12">
        <v>1983.1</v>
      </c>
      <c r="K28" s="12">
        <f t="shared" si="2"/>
        <v>0</v>
      </c>
      <c r="L28" s="27">
        <f>G28/F33</f>
        <v>0</v>
      </c>
      <c r="M28" s="14" t="s">
        <v>73</v>
      </c>
    </row>
    <row r="29" ht="18" hidden="1" customHeight="1" spans="1:13">
      <c r="A29" s="15" t="s">
        <v>48</v>
      </c>
      <c r="B29" s="14" t="s">
        <v>74</v>
      </c>
      <c r="C29" s="12"/>
      <c r="D29" s="12"/>
      <c r="E29" s="12"/>
      <c r="F29" s="12"/>
      <c r="G29" s="12">
        <f t="shared" si="3"/>
        <v>0</v>
      </c>
      <c r="H29" s="13"/>
      <c r="I29" s="13" t="s">
        <v>19</v>
      </c>
      <c r="J29" s="12">
        <v>1983.1</v>
      </c>
      <c r="K29" s="12">
        <f t="shared" si="2"/>
        <v>0</v>
      </c>
      <c r="L29" s="27">
        <f>G29/F33</f>
        <v>0</v>
      </c>
      <c r="M29" s="31" t="s">
        <v>75</v>
      </c>
    </row>
    <row r="30" ht="18" hidden="1" customHeight="1" spans="1:13">
      <c r="A30" s="15" t="s">
        <v>76</v>
      </c>
      <c r="B30" s="14" t="s">
        <v>77</v>
      </c>
      <c r="C30" s="12"/>
      <c r="D30" s="12"/>
      <c r="E30" s="12"/>
      <c r="F30" s="12"/>
      <c r="G30" s="12">
        <f t="shared" si="3"/>
        <v>0</v>
      </c>
      <c r="H30" s="13"/>
      <c r="I30" s="13" t="s">
        <v>19</v>
      </c>
      <c r="J30" s="12">
        <v>1983.1</v>
      </c>
      <c r="K30" s="12">
        <f t="shared" si="2"/>
        <v>0</v>
      </c>
      <c r="L30" s="27">
        <f>G30/F33</f>
        <v>0</v>
      </c>
      <c r="M30" s="31" t="s">
        <v>75</v>
      </c>
    </row>
    <row r="31" ht="18" hidden="1" customHeight="1" spans="1:13">
      <c r="A31" s="15" t="s">
        <v>78</v>
      </c>
      <c r="B31" s="14" t="s">
        <v>79</v>
      </c>
      <c r="C31" s="12"/>
      <c r="D31" s="12"/>
      <c r="E31" s="12"/>
      <c r="F31" s="12"/>
      <c r="G31" s="12">
        <f t="shared" si="3"/>
        <v>0</v>
      </c>
      <c r="H31" s="13"/>
      <c r="I31" s="13" t="s">
        <v>19</v>
      </c>
      <c r="J31" s="12">
        <v>1983.1</v>
      </c>
      <c r="K31" s="12">
        <f t="shared" si="2"/>
        <v>0</v>
      </c>
      <c r="L31" s="27">
        <f>G31/F33</f>
        <v>0</v>
      </c>
      <c r="M31" s="14"/>
    </row>
    <row r="32" ht="30" customHeight="1" spans="1:13">
      <c r="A32" s="13" t="s">
        <v>80</v>
      </c>
      <c r="B32" s="14" t="s">
        <v>81</v>
      </c>
      <c r="C32" s="12"/>
      <c r="D32" s="12"/>
      <c r="E32" s="12"/>
      <c r="F32" s="12">
        <f>(G5+F6)*5%</f>
        <v>2.629050229145</v>
      </c>
      <c r="G32" s="12">
        <f t="shared" si="3"/>
        <v>2.629050229145</v>
      </c>
      <c r="H32" s="13" t="str">
        <f>B32</f>
        <v>基本预备费</v>
      </c>
      <c r="I32" s="13" t="s">
        <v>19</v>
      </c>
      <c r="J32" s="12">
        <v>1983.1</v>
      </c>
      <c r="K32" s="12">
        <f>F32/J32*10000</f>
        <v>13.2572751204932</v>
      </c>
      <c r="L32" s="27">
        <f>G32/F33</f>
        <v>0.0476190476190476</v>
      </c>
      <c r="M32" s="14" t="s">
        <v>82</v>
      </c>
    </row>
    <row r="33" ht="18" customHeight="1" spans="1:13">
      <c r="A33" s="13" t="s">
        <v>83</v>
      </c>
      <c r="B33" s="14" t="s">
        <v>84</v>
      </c>
      <c r="C33" s="12"/>
      <c r="D33" s="12"/>
      <c r="E33" s="12"/>
      <c r="F33" s="12">
        <f>G5+F6+F32</f>
        <v>55.210054812045</v>
      </c>
      <c r="G33" s="12">
        <f t="shared" si="3"/>
        <v>55.210054812045</v>
      </c>
      <c r="H33" s="13"/>
      <c r="I33" s="13" t="s">
        <v>19</v>
      </c>
      <c r="J33" s="12">
        <v>1983.1</v>
      </c>
      <c r="K33" s="12">
        <f>F33/J33*10000</f>
        <v>278.402777530357</v>
      </c>
      <c r="L33" s="27">
        <f>G33/F33</f>
        <v>1</v>
      </c>
      <c r="M33" s="13"/>
    </row>
  </sheetData>
  <mergeCells count="11">
    <mergeCell ref="A1:M1"/>
    <mergeCell ref="A2:M2"/>
    <mergeCell ref="C3:G3"/>
    <mergeCell ref="H3:K3"/>
    <mergeCell ref="A3:A4"/>
    <mergeCell ref="B3:B4"/>
    <mergeCell ref="B13:B14"/>
    <mergeCell ref="F13:F14"/>
    <mergeCell ref="G13:G14"/>
    <mergeCell ref="L3:L4"/>
    <mergeCell ref="M3:M4"/>
  </mergeCells>
  <pageMargins left="0.472222222222222" right="0.432638888888889" top="0.629861111111111" bottom="0.747916666666667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HHY</cp:lastModifiedBy>
  <dcterms:created xsi:type="dcterms:W3CDTF">2021-06-28T02:35:00Z</dcterms:created>
  <dcterms:modified xsi:type="dcterms:W3CDTF">2023-02-23T06:18:23Z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A289E81D19B844ADBC99D754A89A06BB</vt:lpwstr>
  </property>
</Properties>
</file>