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F:\未完成项目\陈宗川\张顺\2024.09.03璧山区2024年正兴镇曙光村山坪塘整治工程  挂靠集锦\审核资料\"/>
    </mc:Choice>
  </mc:AlternateContent>
  <xr:revisionPtr revIDLastSave="0" documentId="13_ncr:1_{66F1C198-2E7E-49DF-ABAE-53EE8272E939}" xr6:coauthVersionLast="47" xr6:coauthVersionMax="47" xr10:uidLastSave="{00000000-0000-0000-0000-000000000000}"/>
  <bookViews>
    <workbookView xWindow="-110" yWindow="-110" windowWidth="25820" windowHeight="15500" tabRatio="752" xr2:uid="{00000000-000D-0000-FFFF-FFFF00000000}"/>
  </bookViews>
  <sheets>
    <sheet name="璧山区正兴镇沙塝村廖家基房山坪塘整治工程全费用综合单价审核表" sheetId="1" r:id="rId1"/>
  </sheets>
  <definedNames>
    <definedName name="_xlnm._FilterDatabase" localSheetId="0" hidden="1">璧山区正兴镇沙塝村廖家基房山坪塘整治工程全费用综合单价审核表!$A$5:$B$63</definedName>
    <definedName name="_xlnm.Print_Titles" localSheetId="0">璧山区正兴镇沙塝村廖家基房山坪塘整治工程全费用综合单价审核表!$1:$3</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1" l="1"/>
  <c r="E50" i="1" s="1"/>
  <c r="E47" i="1"/>
  <c r="E41" i="1"/>
  <c r="E31" i="1"/>
  <c r="E30" i="1"/>
  <c r="F30" i="1" s="1"/>
  <c r="E24" i="1"/>
  <c r="E35" i="1" s="1"/>
  <c r="E29" i="1"/>
  <c r="E27" i="1"/>
  <c r="E23" i="1"/>
  <c r="E34" i="1" s="1"/>
  <c r="D23" i="1"/>
  <c r="D22" i="1"/>
  <c r="F22" i="1" s="1"/>
  <c r="D20" i="1"/>
  <c r="F20" i="1" s="1"/>
  <c r="D19" i="1"/>
  <c r="F19" i="1" s="1"/>
  <c r="D18" i="1"/>
  <c r="F18" i="1" s="1"/>
  <c r="D11" i="1"/>
  <c r="D15" i="1" s="1"/>
  <c r="F15" i="1" s="1"/>
  <c r="D9" i="1"/>
  <c r="F9" i="1" s="1"/>
  <c r="D8" i="1"/>
  <c r="F8" i="1" s="1"/>
  <c r="D17" i="1"/>
  <c r="F17" i="1" s="1"/>
  <c r="D50" i="1"/>
  <c r="D51" i="1" s="1"/>
  <c r="D49" i="1"/>
  <c r="F49" i="1" s="1"/>
  <c r="D48" i="1"/>
  <c r="F48" i="1" s="1"/>
  <c r="D47" i="1"/>
  <c r="D43" i="1"/>
  <c r="D42" i="1"/>
  <c r="D41" i="1"/>
  <c r="D40" i="1"/>
  <c r="F40" i="1" s="1"/>
  <c r="D39" i="1"/>
  <c r="F39" i="1" s="1"/>
  <c r="D34" i="1"/>
  <c r="D35" i="1" s="1"/>
  <c r="D31" i="1"/>
  <c r="D33" i="1"/>
  <c r="F33" i="1" s="1"/>
  <c r="D32" i="1"/>
  <c r="F32" i="1" s="1"/>
  <c r="D29" i="1"/>
  <c r="D28" i="1"/>
  <c r="F28" i="1" s="1"/>
  <c r="D27" i="1"/>
  <c r="F13" i="1"/>
  <c r="F21" i="1"/>
  <c r="F37" i="1"/>
  <c r="F38" i="1"/>
  <c r="F45" i="1"/>
  <c r="F46" i="1"/>
  <c r="F53" i="1"/>
  <c r="F54" i="1"/>
  <c r="F55" i="1"/>
  <c r="F56" i="1"/>
  <c r="F57" i="1"/>
  <c r="F58" i="1"/>
  <c r="F59" i="1"/>
  <c r="E43" i="1" l="1"/>
  <c r="E51" i="1" s="1"/>
  <c r="F51" i="1" s="1"/>
  <c r="F42" i="1"/>
  <c r="F47" i="1"/>
  <c r="F41" i="1"/>
  <c r="F35" i="1"/>
  <c r="F31" i="1"/>
  <c r="F29" i="1"/>
  <c r="F27" i="1"/>
  <c r="F23" i="1"/>
  <c r="F11" i="1"/>
  <c r="D12" i="1"/>
  <c r="F12" i="1" s="1"/>
  <c r="F34" i="1"/>
  <c r="D24" i="1"/>
  <c r="F24" i="1" s="1"/>
  <c r="D14" i="1"/>
  <c r="F14" i="1" s="1"/>
  <c r="F50" i="1"/>
  <c r="D10" i="1"/>
  <c r="F10" i="1" s="1"/>
  <c r="F43" i="1" l="1"/>
  <c r="F5" i="1" l="1"/>
  <c r="E61" i="1" s="1"/>
  <c r="F61" i="1" s="1"/>
  <c r="F60" i="1" s="1"/>
  <c r="E63" i="1" s="1"/>
  <c r="F63" i="1" l="1"/>
  <c r="F62" i="1" s="1"/>
  <c r="F4" i="1" s="1"/>
</calcChain>
</file>

<file path=xl/sharedStrings.xml><?xml version="1.0" encoding="utf-8"?>
<sst xmlns="http://schemas.openxmlformats.org/spreadsheetml/2006/main" count="127" uniqueCount="70">
  <si>
    <t>金额单位：元</t>
  </si>
  <si>
    <t>编号</t>
  </si>
  <si>
    <t>工程项目及名称</t>
  </si>
  <si>
    <t>单位</t>
  </si>
  <si>
    <t>工程量</t>
  </si>
  <si>
    <t>综合单价</t>
  </si>
  <si>
    <t>合价</t>
  </si>
  <si>
    <t>第一部分 建筑工程</t>
  </si>
  <si>
    <t>%</t>
  </si>
  <si>
    <t>安全生产费</t>
  </si>
  <si>
    <t>m³</t>
  </si>
  <si>
    <t>其他临时工程（综合单价为建筑工程合价）</t>
    <phoneticPr fontId="7" type="noConversion"/>
  </si>
  <si>
    <t>安全生产费（综合单价为建筑工程合价+施工临时工程合价）</t>
    <phoneticPr fontId="7" type="noConversion"/>
  </si>
  <si>
    <t>m²</t>
  </si>
  <si>
    <t>上游坝坡</t>
    <phoneticPr fontId="7" type="noConversion"/>
  </si>
  <si>
    <t>（一）</t>
    <phoneticPr fontId="7" type="noConversion"/>
  </si>
  <si>
    <t>土方开挖</t>
    <phoneticPr fontId="2" type="noConversion"/>
  </si>
  <si>
    <t>石方开挖</t>
    <phoneticPr fontId="2" type="noConversion"/>
  </si>
  <si>
    <t>（二）</t>
    <phoneticPr fontId="2" type="noConversion"/>
  </si>
  <si>
    <t>合计</t>
    <phoneticPr fontId="2" type="noConversion"/>
  </si>
  <si>
    <t>璧山区2024年正兴镇曙光村山坪塘整治工程
全费用单价审核表</t>
    <phoneticPr fontId="7" type="noConversion"/>
  </si>
  <si>
    <t>壹</t>
    <phoneticPr fontId="2" type="noConversion"/>
  </si>
  <si>
    <t>贰</t>
    <phoneticPr fontId="2" type="noConversion"/>
  </si>
  <si>
    <t>叁</t>
    <phoneticPr fontId="2" type="noConversion"/>
  </si>
  <si>
    <t>曙光村4组林家山坪塘</t>
    <phoneticPr fontId="2" type="noConversion"/>
  </si>
  <si>
    <t>一</t>
    <phoneticPr fontId="2" type="noConversion"/>
  </si>
  <si>
    <t>（二）</t>
    <phoneticPr fontId="2" type="noConversion"/>
  </si>
  <si>
    <t>根</t>
  </si>
  <si>
    <t>黏土夯实回填</t>
    <phoneticPr fontId="2" type="noConversion"/>
  </si>
  <si>
    <t>原浆砌条石表面清理</t>
    <phoneticPr fontId="2" type="noConversion"/>
  </si>
  <si>
    <t>M10水泥砂浆开槽、勾缝</t>
    <phoneticPr fontId="2" type="noConversion"/>
  </si>
  <si>
    <t>钢丝网（钢丝3mm 网孔25mm*25mm 电镀锌）</t>
    <phoneticPr fontId="2" type="noConversion"/>
  </si>
  <si>
    <t>二</t>
    <phoneticPr fontId="2" type="noConversion"/>
  </si>
  <si>
    <t>上游坝坡</t>
    <phoneticPr fontId="2" type="noConversion"/>
  </si>
  <si>
    <t>m</t>
  </si>
  <si>
    <t>套</t>
  </si>
  <si>
    <t>个</t>
  </si>
  <si>
    <t>M10水泥砂浆抹面（5cm）</t>
    <phoneticPr fontId="7" type="noConversion"/>
  </si>
  <si>
    <t>塘岸</t>
    <phoneticPr fontId="7" type="noConversion"/>
  </si>
  <si>
    <t>原浆砌条石拆除</t>
    <phoneticPr fontId="7" type="noConversion"/>
  </si>
  <si>
    <t>土方开挖</t>
    <phoneticPr fontId="7" type="noConversion"/>
  </si>
  <si>
    <t>石方开挖</t>
    <phoneticPr fontId="7" type="noConversion"/>
  </si>
  <si>
    <t>土方夯实回填</t>
    <phoneticPr fontId="7" type="noConversion"/>
  </si>
  <si>
    <t>旧条石翻安（M7.5）</t>
    <phoneticPr fontId="7" type="noConversion"/>
  </si>
  <si>
    <t>M7.5浆砌条石</t>
    <phoneticPr fontId="7" type="noConversion"/>
  </si>
  <si>
    <t>条石表面加工</t>
    <phoneticPr fontId="7" type="noConversion"/>
  </si>
  <si>
    <t>M10水泥砂浆开槽勾缝</t>
    <phoneticPr fontId="7" type="noConversion"/>
  </si>
  <si>
    <t>曙光村3组汪家山坪塘</t>
    <phoneticPr fontId="7" type="noConversion"/>
  </si>
  <si>
    <t>沟槽石方开挖</t>
    <phoneticPr fontId="7" type="noConversion"/>
  </si>
  <si>
    <t>旧条石翻安</t>
    <phoneticPr fontId="7" type="noConversion"/>
  </si>
  <si>
    <t>M7.5浆砌条石挡墙</t>
    <phoneticPr fontId="7" type="noConversion"/>
  </si>
  <si>
    <t>沉降缝（沥青油毛毡 一毡二油）</t>
    <phoneticPr fontId="7" type="noConversion"/>
  </si>
  <si>
    <t>坝顶</t>
    <phoneticPr fontId="7" type="noConversion"/>
  </si>
  <si>
    <t>碎石垫层（10cm厚）</t>
    <phoneticPr fontId="7" type="noConversion"/>
  </si>
  <si>
    <t>C20砼路面（10cm厚）</t>
    <phoneticPr fontId="7" type="noConversion"/>
  </si>
  <si>
    <t>M7.5浆砌条石框格</t>
    <phoneticPr fontId="7" type="noConversion"/>
  </si>
  <si>
    <t>溢洪道</t>
    <phoneticPr fontId="7" type="noConversion"/>
  </si>
  <si>
    <t>C20砼底板</t>
    <phoneticPr fontId="7" type="noConversion"/>
  </si>
  <si>
    <t>C25预制钢筋砼板</t>
    <phoneticPr fontId="7" type="noConversion"/>
  </si>
  <si>
    <t>放水设施</t>
    <phoneticPr fontId="7" type="noConversion"/>
  </si>
  <si>
    <t>夯实回填黏土</t>
    <phoneticPr fontId="7" type="noConversion"/>
  </si>
  <si>
    <t>拦污栅（含安装）</t>
    <phoneticPr fontId="7" type="noConversion"/>
  </si>
  <si>
    <t>闸阀井</t>
    <phoneticPr fontId="7" type="noConversion"/>
  </si>
  <si>
    <t xml:space="preserve">软密封暗杆闸阀Z45X-16 </t>
    <phoneticPr fontId="7" type="noConversion"/>
  </si>
  <si>
    <t>施工临时工程</t>
    <phoneticPr fontId="7" type="noConversion"/>
  </si>
  <si>
    <t>（三）</t>
    <phoneticPr fontId="2" type="noConversion"/>
  </si>
  <si>
    <t>（四）</t>
    <phoneticPr fontId="2" type="noConversion"/>
  </si>
  <si>
    <t>C20现浇混凝土截流环</t>
    <phoneticPr fontId="7" type="noConversion"/>
  </si>
  <si>
    <r>
      <rPr>
        <sz val="12"/>
        <rFont val="Calibri"/>
        <family val="4"/>
        <charset val="161"/>
      </rPr>
      <t>Φ</t>
    </r>
    <r>
      <rPr>
        <sz val="12"/>
        <rFont val="方正仿宋_GBK"/>
        <family val="4"/>
        <charset val="134"/>
      </rPr>
      <t>18锚筋（</t>
    </r>
    <r>
      <rPr>
        <sz val="12"/>
        <rFont val="Calibri"/>
        <family val="4"/>
      </rPr>
      <t>L=</t>
    </r>
    <r>
      <rPr>
        <sz val="12"/>
        <rFont val="方正仿宋_GBK"/>
        <family val="4"/>
        <charset val="134"/>
      </rPr>
      <t>0.3m）</t>
    </r>
    <phoneticPr fontId="2" type="noConversion"/>
  </si>
  <si>
    <r>
      <t>1.0Mpa</t>
    </r>
    <r>
      <rPr>
        <sz val="12"/>
        <rFont val="Calibri"/>
        <family val="4"/>
        <charset val="161"/>
      </rPr>
      <t>Φ</t>
    </r>
    <r>
      <rPr>
        <sz val="12"/>
        <rFont val="方正仿宋_GBK"/>
        <family val="4"/>
        <charset val="134"/>
      </rPr>
      <t>160PE100放水管</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</si>
</sst>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4">
    <font>
      <sz val="9"/>
      <color theme="1"/>
      <name val="??"/>
      <charset val="134"/>
      <scheme val="minor"/>
    </font>
    <font>
      <sz val="10"/>
      <color theme="1"/>
      <name val="??"/>
      <family val="2"/>
      <scheme val="minor"/>
    </font>
    <font>
      <sz val="9"/>
      <name val="宋体"/>
      <family val="3"/>
      <charset val="134"/>
    </font>
    <font>
      <sz val="18"/>
      <name val="方正小标宋_GBK"/>
      <family val="4"/>
      <charset val="134"/>
    </font>
    <font>
      <sz val="12"/>
      <name val="方正仿宋_GBK"/>
      <family val="4"/>
      <charset val="134"/>
    </font>
    <font>
      <sz val="12"/>
      <color indexed="8"/>
      <name val="方正仿宋_GBK"/>
      <family val="4"/>
      <charset val="134"/>
    </font>
    <font>
      <sz val="9"/>
      <color theme="1"/>
      <name val="??"/>
      <family val="2"/>
      <scheme val="minor"/>
    </font>
    <font>
      <sz val="9"/>
      <name val="??"/>
      <family val="2"/>
      <scheme val="minor"/>
    </font>
    <font>
      <sz val="12"/>
      <color theme="1"/>
      <name val="方正仿宋_GBK"/>
      <family val="4"/>
      <charset val="134"/>
    </font>
    <font>
      <b/>
      <sz val="12"/>
      <name val="方正仿宋_GBK"/>
      <family val="4"/>
      <charset val="134"/>
    </font>
    <font>
      <b/>
      <sz val="12"/>
      <color theme="1"/>
      <name val="方正仿宋_GBK"/>
      <family val="4"/>
      <charset val="134"/>
    </font>
    <font>
      <sz val="12"/>
      <name val="Calibri"/>
      <family val="4"/>
      <charset val="161"/>
    </font>
    <font>
      <sz val="12"/>
      <name val="Calibri"/>
      <family val="4"/>
    </font>
    <font>
      <sz val="12"/>
      <name val="方正仿宋_GBK"/>
      <family val="4"/>
      <charset val="161"/>
    </font>
  </fonts>
  <fills count="2">
    <fill>
      <patternFill patternType="none"/>
    </fill>
    <fill>
      <patternFill patternType="gray125"/>
    </fill>
  </fills>
  <borders count="12">
    <border>
      <left/>
      <right/>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indexed="64"/>
      </left>
      <right style="thin">
        <color indexed="64"/>
      </right>
      <top style="thin">
        <color indexed="64"/>
      </top>
      <bottom style="thin">
        <color indexed="64"/>
      </bottom>
      <diagonal/>
    </border>
    <border>
      <left/>
      <right/>
      <top style="thin">
        <color theme="1"/>
      </top>
      <bottom style="thin">
        <color theme="1"/>
      </bottom>
      <diagonal/>
    </border>
    <border>
      <left style="thin">
        <color indexed="8"/>
      </left>
      <right style="thin">
        <color indexed="8"/>
      </right>
      <top style="thin">
        <color indexed="8"/>
      </top>
      <bottom style="thin">
        <color indexed="8"/>
      </bottom>
      <diagonal/>
    </border>
    <border>
      <left style="thin">
        <color theme="1"/>
      </left>
      <right/>
      <top style="thin">
        <color theme="1"/>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theme="1"/>
      </left>
      <right/>
      <top/>
      <bottom style="thin">
        <color theme="1"/>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cellStyleXfs>
  <cellXfs count="39">
    <xf numFmtId="0" fontId="0" fillId="0" borderId="0" xfId="0" applyAlignment="1"/>
    <xf numFmtId="0" fontId="0" fillId="0" borderId="0" xfId="1" applyFont="1"/>
    <xf numFmtId="0" fontId="1" fillId="0" borderId="0" xfId="1"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176" fontId="4" fillId="0" borderId="3" xfId="1" applyNumberFormat="1" applyFont="1" applyBorder="1" applyAlignment="1">
      <alignment horizontal="center" vertical="center" wrapText="1"/>
    </xf>
    <xf numFmtId="0" fontId="8" fillId="0" borderId="0" xfId="1" applyFont="1"/>
    <xf numFmtId="0" fontId="9" fillId="0" borderId="3" xfId="1" applyFont="1" applyBorder="1" applyAlignment="1">
      <alignment vertical="center" wrapText="1"/>
    </xf>
    <xf numFmtId="0" fontId="9" fillId="0" borderId="3" xfId="1" applyFont="1" applyBorder="1" applyAlignment="1">
      <alignment horizontal="center" vertical="center" wrapText="1"/>
    </xf>
    <xf numFmtId="2" fontId="9" fillId="0" borderId="3" xfId="1" applyNumberFormat="1" applyFont="1" applyBorder="1" applyAlignment="1">
      <alignment horizontal="center" vertical="center" wrapText="1"/>
    </xf>
    <xf numFmtId="0" fontId="10" fillId="0" borderId="0" xfId="1" applyFont="1"/>
    <xf numFmtId="176" fontId="10" fillId="0" borderId="0" xfId="1" applyNumberFormat="1" applyFont="1"/>
    <xf numFmtId="0" fontId="4" fillId="0" borderId="2" xfId="1" applyFont="1" applyBorder="1" applyAlignment="1">
      <alignment horizontal="left" vertical="center" wrapText="1"/>
    </xf>
    <xf numFmtId="0" fontId="5" fillId="0" borderId="5" xfId="0" applyFont="1" applyBorder="1" applyAlignment="1">
      <alignment horizontal="center" vertical="center" wrapText="1"/>
    </xf>
    <xf numFmtId="2" fontId="4" fillId="0" borderId="3" xfId="1"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0" fontId="13" fillId="0" borderId="2" xfId="1" applyFont="1" applyBorder="1" applyAlignment="1">
      <alignment horizontal="left" vertical="center" wrapText="1"/>
    </xf>
    <xf numFmtId="2" fontId="8" fillId="0" borderId="0" xfId="1" applyNumberFormat="1" applyFont="1"/>
    <xf numFmtId="0" fontId="5" fillId="0" borderId="5" xfId="0" applyFont="1" applyBorder="1" applyAlignment="1">
      <alignment horizontal="center" vertical="center"/>
    </xf>
    <xf numFmtId="1" fontId="4" fillId="0" borderId="3" xfId="1" applyNumberFormat="1" applyFont="1" applyBorder="1" applyAlignment="1">
      <alignment horizontal="center" vertical="center" wrapText="1"/>
    </xf>
    <xf numFmtId="0" fontId="0" fillId="0" borderId="0" xfId="1" applyFont="1" applyAlignment="1">
      <alignment horizontal="center"/>
    </xf>
    <xf numFmtId="0" fontId="9" fillId="0" borderId="2" xfId="1" applyFont="1" applyBorder="1" applyAlignment="1">
      <alignment horizontal="center" vertical="center" wrapText="1"/>
    </xf>
    <xf numFmtId="0" fontId="9" fillId="0" borderId="4" xfId="1" applyFont="1" applyBorder="1" applyAlignment="1">
      <alignment horizontal="center" vertical="center" wrapText="1"/>
    </xf>
    <xf numFmtId="0" fontId="3" fillId="0" borderId="0" xfId="1" applyFont="1" applyAlignment="1">
      <alignment horizontal="center"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4" fillId="0" borderId="0" xfId="1" applyFont="1" applyAlignment="1">
      <alignment horizontal="right" vertical="center" wrapText="1"/>
    </xf>
    <xf numFmtId="0" fontId="4" fillId="0" borderId="6" xfId="1" applyFont="1" applyBorder="1" applyAlignment="1">
      <alignment horizontal="left" vertical="center" wrapText="1"/>
    </xf>
    <xf numFmtId="0" fontId="5" fillId="0" borderId="7" xfId="0" applyFont="1" applyBorder="1" applyAlignment="1">
      <alignment horizontal="center" vertical="center" wrapText="1"/>
    </xf>
    <xf numFmtId="2" fontId="4" fillId="0" borderId="8" xfId="1" applyNumberFormat="1" applyFont="1" applyBorder="1" applyAlignment="1">
      <alignment horizontal="center" vertical="center" wrapText="1"/>
    </xf>
    <xf numFmtId="0" fontId="4" fillId="0" borderId="8" xfId="1" applyFont="1" applyBorder="1" applyAlignment="1">
      <alignment horizontal="center" vertical="center" wrapText="1"/>
    </xf>
    <xf numFmtId="2" fontId="5" fillId="0" borderId="8" xfId="0" applyNumberFormat="1" applyFont="1" applyBorder="1" applyAlignment="1">
      <alignment horizontal="center" vertical="center" wrapText="1"/>
    </xf>
    <xf numFmtId="0" fontId="4" fillId="0" borderId="9" xfId="1" applyFont="1" applyBorder="1" applyAlignment="1">
      <alignment horizontal="left" vertical="center" wrapText="1"/>
    </xf>
    <xf numFmtId="0" fontId="5" fillId="0" borderId="10" xfId="0" applyFont="1" applyBorder="1" applyAlignment="1">
      <alignment horizontal="center" vertical="center"/>
    </xf>
    <xf numFmtId="0" fontId="4" fillId="0" borderId="11" xfId="1" applyFont="1" applyBorder="1" applyAlignment="1">
      <alignment horizontal="center" vertical="center" wrapText="1"/>
    </xf>
    <xf numFmtId="2" fontId="5" fillId="0" borderId="11" xfId="0" applyNumberFormat="1" applyFont="1" applyBorder="1" applyAlignment="1">
      <alignment horizontal="center" vertical="center" wrapText="1"/>
    </xf>
    <xf numFmtId="0" fontId="4" fillId="0" borderId="3" xfId="1" applyFont="1" applyBorder="1" applyAlignment="1">
      <alignment horizontal="left" vertical="center" wrapText="1"/>
    </xf>
    <xf numFmtId="0" fontId="5" fillId="0" borderId="3" xfId="0" applyFont="1" applyBorder="1" applyAlignment="1">
      <alignment horizontal="center" vertical="center" wrapText="1"/>
    </xf>
  </cellXfs>
  <cellStyles count="2">
    <cellStyle name="Normal" xfId="1" xr:uid="{00000000-0005-0000-0000-000000000000}"/>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3"/>
  <sheetViews>
    <sheetView showGridLines="0" tabSelected="1" workbookViewId="0">
      <pane xSplit="6" ySplit="3" topLeftCell="G4" activePane="bottomRight" state="frozen"/>
      <selection pane="topRight" activeCell="G1" sqref="G1"/>
      <selection pane="bottomLeft" activeCell="A5" sqref="A5"/>
      <selection pane="bottomRight" activeCell="C14" sqref="C14"/>
    </sheetView>
  </sheetViews>
  <sheetFormatPr defaultColWidth="9" defaultRowHeight="20.5" customHeight="1"/>
  <cols>
    <col min="1" max="1" width="10.69921875" style="21" customWidth="1"/>
    <col min="2" max="2" width="49.296875" style="1" customWidth="1"/>
    <col min="3" max="3" width="8.69921875" style="1" customWidth="1"/>
    <col min="4" max="4" width="10.3984375" style="21" customWidth="1"/>
    <col min="5" max="5" width="12.19921875" style="21" bestFit="1" customWidth="1"/>
    <col min="6" max="6" width="13.3984375" style="21" bestFit="1" customWidth="1"/>
    <col min="7" max="7" width="9" style="1"/>
    <col min="8" max="8" width="15.5" style="1" bestFit="1" customWidth="1"/>
    <col min="9" max="9" width="14.69921875" style="1" customWidth="1"/>
    <col min="10" max="16384" width="9" style="1"/>
  </cols>
  <sheetData>
    <row r="1" spans="1:8" ht="45.5" customHeight="1">
      <c r="A1" s="24" t="s">
        <v>20</v>
      </c>
      <c r="B1" s="24"/>
      <c r="C1" s="24"/>
      <c r="D1" s="24"/>
      <c r="E1" s="24"/>
      <c r="F1" s="24"/>
    </row>
    <row r="2" spans="1:8" s="2" customFormat="1" ht="20.5" customHeight="1">
      <c r="A2" s="25"/>
      <c r="B2" s="25"/>
      <c r="C2" s="25"/>
      <c r="D2" s="26"/>
      <c r="E2" s="27" t="s">
        <v>0</v>
      </c>
      <c r="F2" s="27"/>
    </row>
    <row r="3" spans="1:8" s="7" customFormat="1" ht="20.5" customHeight="1">
      <c r="A3" s="3" t="s">
        <v>1</v>
      </c>
      <c r="B3" s="4" t="s">
        <v>2</v>
      </c>
      <c r="C3" s="5" t="s">
        <v>3</v>
      </c>
      <c r="D3" s="5" t="s">
        <v>4</v>
      </c>
      <c r="E3" s="5" t="s">
        <v>5</v>
      </c>
      <c r="F3" s="6" t="s">
        <v>6</v>
      </c>
    </row>
    <row r="4" spans="1:8" s="11" customFormat="1" ht="20.5" customHeight="1">
      <c r="A4" s="22" t="s">
        <v>19</v>
      </c>
      <c r="B4" s="23"/>
      <c r="C4" s="8"/>
      <c r="D4" s="9"/>
      <c r="E4" s="9"/>
      <c r="F4" s="10">
        <f>F5+F60+F62</f>
        <v>296589.15999999997</v>
      </c>
      <c r="H4" s="12"/>
    </row>
    <row r="5" spans="1:8" s="7" customFormat="1" ht="20.5" customHeight="1">
      <c r="A5" s="3" t="s">
        <v>21</v>
      </c>
      <c r="B5" s="13" t="s">
        <v>7</v>
      </c>
      <c r="C5" s="5"/>
      <c r="D5" s="5"/>
      <c r="E5" s="5"/>
      <c r="F5" s="6">
        <f>SUM(F6:F59)</f>
        <v>282304.55</v>
      </c>
    </row>
    <row r="6" spans="1:8" s="7" customFormat="1" ht="20.5" customHeight="1">
      <c r="A6" s="3" t="s">
        <v>25</v>
      </c>
      <c r="B6" s="13" t="s">
        <v>24</v>
      </c>
      <c r="C6" s="5"/>
      <c r="D6" s="5"/>
      <c r="E6" s="5"/>
      <c r="F6" s="6"/>
    </row>
    <row r="7" spans="1:8" s="7" customFormat="1" ht="20.5" customHeight="1">
      <c r="A7" s="3" t="s">
        <v>15</v>
      </c>
      <c r="B7" s="13" t="s">
        <v>33</v>
      </c>
      <c r="C7" s="5"/>
      <c r="D7" s="5"/>
      <c r="E7" s="5"/>
      <c r="F7" s="6"/>
    </row>
    <row r="8" spans="1:8" s="7" customFormat="1" ht="20.5" customHeight="1">
      <c r="A8" s="4">
        <v>1</v>
      </c>
      <c r="B8" s="13" t="s">
        <v>16</v>
      </c>
      <c r="C8" s="14" t="s">
        <v>10</v>
      </c>
      <c r="D8" s="15">
        <f>0.62*(13+46+3.2+4.4)*0.9</f>
        <v>37.159999999999997</v>
      </c>
      <c r="E8" s="5">
        <v>11.84</v>
      </c>
      <c r="F8" s="16">
        <f t="shared" ref="F8:F59" si="0">D8*E8</f>
        <v>439.97</v>
      </c>
    </row>
    <row r="9" spans="1:8" s="7" customFormat="1" ht="20.5" customHeight="1">
      <c r="A9" s="4">
        <v>2</v>
      </c>
      <c r="B9" s="13" t="s">
        <v>17</v>
      </c>
      <c r="C9" s="14" t="s">
        <v>10</v>
      </c>
      <c r="D9" s="15">
        <f>0.62*(13+46+3.2+4.4)*0.1</f>
        <v>4.13</v>
      </c>
      <c r="E9" s="5">
        <v>98.65</v>
      </c>
      <c r="F9" s="16">
        <f t="shared" si="0"/>
        <v>407.42</v>
      </c>
    </row>
    <row r="10" spans="1:8" s="7" customFormat="1" ht="20.5" customHeight="1">
      <c r="A10" s="4">
        <v>3</v>
      </c>
      <c r="B10" s="13" t="s">
        <v>28</v>
      </c>
      <c r="C10" s="14" t="s">
        <v>10</v>
      </c>
      <c r="D10" s="15">
        <f>D8+D9</f>
        <v>41.29</v>
      </c>
      <c r="E10" s="5">
        <v>34.96</v>
      </c>
      <c r="F10" s="16">
        <f t="shared" si="0"/>
        <v>1443.5</v>
      </c>
    </row>
    <row r="11" spans="1:8" s="7" customFormat="1" ht="20.5" customHeight="1">
      <c r="A11" s="4">
        <v>4</v>
      </c>
      <c r="B11" s="13" t="s">
        <v>29</v>
      </c>
      <c r="C11" s="14" t="s">
        <v>13</v>
      </c>
      <c r="D11" s="15">
        <f>4.92*(13+46+3.2+4.4)</f>
        <v>327.67</v>
      </c>
      <c r="E11" s="5">
        <v>24.44</v>
      </c>
      <c r="F11" s="16">
        <f t="shared" si="0"/>
        <v>8008.25</v>
      </c>
    </row>
    <row r="12" spans="1:8" s="7" customFormat="1" ht="20.5" customHeight="1">
      <c r="A12" s="4">
        <v>5</v>
      </c>
      <c r="B12" s="13" t="s">
        <v>30</v>
      </c>
      <c r="C12" s="14" t="s">
        <v>13</v>
      </c>
      <c r="D12" s="15">
        <f>D11</f>
        <v>327.67</v>
      </c>
      <c r="E12" s="5">
        <v>18.38</v>
      </c>
      <c r="F12" s="16">
        <f t="shared" si="0"/>
        <v>6022.57</v>
      </c>
    </row>
    <row r="13" spans="1:8" s="7" customFormat="1" ht="20.5" customHeight="1">
      <c r="A13" s="4">
        <v>6</v>
      </c>
      <c r="B13" s="17" t="s">
        <v>68</v>
      </c>
      <c r="C13" s="14" t="s">
        <v>27</v>
      </c>
      <c r="D13" s="5">
        <v>90</v>
      </c>
      <c r="E13" s="5">
        <v>11.48</v>
      </c>
      <c r="F13" s="16">
        <f t="shared" si="0"/>
        <v>1033.2</v>
      </c>
    </row>
    <row r="14" spans="1:8" s="7" customFormat="1" ht="20.5" customHeight="1">
      <c r="A14" s="4">
        <v>7</v>
      </c>
      <c r="B14" s="13" t="s">
        <v>31</v>
      </c>
      <c r="C14" s="14" t="s">
        <v>13</v>
      </c>
      <c r="D14" s="5">
        <f>D11</f>
        <v>327.67</v>
      </c>
      <c r="E14" s="5">
        <v>19.61</v>
      </c>
      <c r="F14" s="16">
        <f t="shared" si="0"/>
        <v>6425.61</v>
      </c>
    </row>
    <row r="15" spans="1:8" s="7" customFormat="1" ht="20.5" customHeight="1">
      <c r="A15" s="4">
        <v>8</v>
      </c>
      <c r="B15" s="13" t="s">
        <v>37</v>
      </c>
      <c r="C15" s="14" t="s">
        <v>13</v>
      </c>
      <c r="D15" s="5">
        <f>D11</f>
        <v>327.67</v>
      </c>
      <c r="E15" s="5">
        <v>44.56</v>
      </c>
      <c r="F15" s="16">
        <f t="shared" si="0"/>
        <v>14600.98</v>
      </c>
    </row>
    <row r="16" spans="1:8" s="7" customFormat="1" ht="20.5" customHeight="1">
      <c r="A16" s="3" t="s">
        <v>26</v>
      </c>
      <c r="B16" s="13" t="s">
        <v>38</v>
      </c>
      <c r="C16" s="5"/>
      <c r="D16" s="5"/>
      <c r="E16" s="5"/>
      <c r="F16" s="16"/>
    </row>
    <row r="17" spans="1:9" s="7" customFormat="1" ht="20.5" customHeight="1">
      <c r="A17" s="4">
        <v>1</v>
      </c>
      <c r="B17" s="13" t="s">
        <v>39</v>
      </c>
      <c r="C17" s="14" t="s">
        <v>10</v>
      </c>
      <c r="D17" s="5">
        <f>3.3*10</f>
        <v>33</v>
      </c>
      <c r="E17" s="5">
        <v>65.06</v>
      </c>
      <c r="F17" s="16">
        <f t="shared" si="0"/>
        <v>2146.98</v>
      </c>
    </row>
    <row r="18" spans="1:9" s="7" customFormat="1" ht="20.5" customHeight="1">
      <c r="A18" s="4">
        <v>2</v>
      </c>
      <c r="B18" s="13" t="s">
        <v>40</v>
      </c>
      <c r="C18" s="14" t="s">
        <v>10</v>
      </c>
      <c r="D18" s="15">
        <f>((1.94+0.39)*10+2.56*23+1.35*88)*0.4</f>
        <v>80.39</v>
      </c>
      <c r="E18" s="5">
        <v>11.84</v>
      </c>
      <c r="F18" s="16">
        <f t="shared" si="0"/>
        <v>951.82</v>
      </c>
    </row>
    <row r="19" spans="1:9" s="7" customFormat="1" ht="20.5" customHeight="1">
      <c r="A19" s="4">
        <v>3</v>
      </c>
      <c r="B19" s="13" t="s">
        <v>41</v>
      </c>
      <c r="C19" s="14" t="s">
        <v>10</v>
      </c>
      <c r="D19" s="15">
        <f>((1.94+0.39)*10+2.56*23+1.35*88)*0.6</f>
        <v>120.59</v>
      </c>
      <c r="E19" s="5">
        <v>98.65</v>
      </c>
      <c r="F19" s="16">
        <f t="shared" si="0"/>
        <v>11896.2</v>
      </c>
    </row>
    <row r="20" spans="1:9" s="7" customFormat="1" ht="20.5" customHeight="1">
      <c r="A20" s="4">
        <v>4</v>
      </c>
      <c r="B20" s="13" t="s">
        <v>42</v>
      </c>
      <c r="C20" s="14" t="s">
        <v>10</v>
      </c>
      <c r="D20" s="5">
        <f>(1.94+0.39)*10+(0.17+0.94)*23+(0.17+0.39)*88</f>
        <v>98.11</v>
      </c>
      <c r="E20" s="5">
        <v>34.96</v>
      </c>
      <c r="F20" s="16">
        <f t="shared" si="0"/>
        <v>3429.93</v>
      </c>
    </row>
    <row r="21" spans="1:9" s="7" customFormat="1" ht="20.5" customHeight="1">
      <c r="A21" s="4">
        <v>5</v>
      </c>
      <c r="B21" s="13" t="s">
        <v>43</v>
      </c>
      <c r="C21" s="14" t="s">
        <v>10</v>
      </c>
      <c r="D21" s="5">
        <v>15</v>
      </c>
      <c r="E21" s="5">
        <v>201</v>
      </c>
      <c r="F21" s="16">
        <f t="shared" si="0"/>
        <v>3015</v>
      </c>
    </row>
    <row r="22" spans="1:9" s="7" customFormat="1" ht="20.5" customHeight="1">
      <c r="A22" s="4">
        <v>6</v>
      </c>
      <c r="B22" s="13" t="s">
        <v>44</v>
      </c>
      <c r="C22" s="14" t="s">
        <v>10</v>
      </c>
      <c r="D22" s="5">
        <f>3.34*10+1.69*23+0.96*88-D21</f>
        <v>141.75</v>
      </c>
      <c r="E22" s="5">
        <v>435.08</v>
      </c>
      <c r="F22" s="16">
        <f t="shared" si="0"/>
        <v>61672.59</v>
      </c>
    </row>
    <row r="23" spans="1:9" s="7" customFormat="1" ht="20.5" customHeight="1">
      <c r="A23" s="4">
        <v>7</v>
      </c>
      <c r="B23" s="13" t="s">
        <v>45</v>
      </c>
      <c r="C23" s="14" t="s">
        <v>13</v>
      </c>
      <c r="D23" s="5">
        <f>2.51*10+1.81*23+1.2*88</f>
        <v>172.33</v>
      </c>
      <c r="E23" s="5">
        <f>E11</f>
        <v>24.44</v>
      </c>
      <c r="F23" s="16">
        <f t="shared" si="0"/>
        <v>4211.75</v>
      </c>
    </row>
    <row r="24" spans="1:9" s="7" customFormat="1" ht="20.5" customHeight="1">
      <c r="A24" s="4">
        <v>8</v>
      </c>
      <c r="B24" s="13" t="s">
        <v>46</v>
      </c>
      <c r="C24" s="14" t="s">
        <v>13</v>
      </c>
      <c r="D24" s="15">
        <f>D23</f>
        <v>172.33</v>
      </c>
      <c r="E24" s="5">
        <f>E12</f>
        <v>18.38</v>
      </c>
      <c r="F24" s="16">
        <f t="shared" si="0"/>
        <v>3167.43</v>
      </c>
    </row>
    <row r="25" spans="1:9" s="7" customFormat="1" ht="20.5" customHeight="1">
      <c r="A25" s="3" t="s">
        <v>32</v>
      </c>
      <c r="B25" s="13" t="s">
        <v>47</v>
      </c>
      <c r="C25" s="5"/>
      <c r="D25" s="5"/>
      <c r="E25" s="5"/>
      <c r="F25" s="16"/>
    </row>
    <row r="26" spans="1:9" s="7" customFormat="1" ht="20.5" customHeight="1">
      <c r="A26" s="3" t="s">
        <v>15</v>
      </c>
      <c r="B26" s="13" t="s">
        <v>14</v>
      </c>
      <c r="C26" s="5"/>
      <c r="D26" s="5"/>
      <c r="E26" s="5"/>
      <c r="F26" s="16"/>
    </row>
    <row r="27" spans="1:9" s="7" customFormat="1" ht="20.5" customHeight="1">
      <c r="A27" s="4">
        <v>1</v>
      </c>
      <c r="B27" s="28" t="s">
        <v>39</v>
      </c>
      <c r="C27" s="29" t="s">
        <v>10</v>
      </c>
      <c r="D27" s="30">
        <f>(32.56+14.06)*2.8*0.3</f>
        <v>39.159999999999997</v>
      </c>
      <c r="E27" s="31">
        <f>E17</f>
        <v>65.06</v>
      </c>
      <c r="F27" s="32">
        <f t="shared" si="0"/>
        <v>2547.75</v>
      </c>
    </row>
    <row r="28" spans="1:9" s="7" customFormat="1" ht="20.5" customHeight="1">
      <c r="A28" s="4">
        <v>2</v>
      </c>
      <c r="B28" s="37" t="s">
        <v>40</v>
      </c>
      <c r="C28" s="38" t="s">
        <v>10</v>
      </c>
      <c r="D28" s="15">
        <f>62*5.94*0.9</f>
        <v>331.45</v>
      </c>
      <c r="E28" s="5">
        <v>11.84</v>
      </c>
      <c r="F28" s="16">
        <f t="shared" si="0"/>
        <v>3924.37</v>
      </c>
      <c r="I28" s="18"/>
    </row>
    <row r="29" spans="1:9" s="7" customFormat="1" ht="20.5" customHeight="1">
      <c r="A29" s="4">
        <v>3</v>
      </c>
      <c r="B29" s="37" t="s">
        <v>48</v>
      </c>
      <c r="C29" s="38" t="s">
        <v>10</v>
      </c>
      <c r="D29" s="15">
        <f>62*5.94*0.1</f>
        <v>36.83</v>
      </c>
      <c r="E29" s="5">
        <f>E19</f>
        <v>98.65</v>
      </c>
      <c r="F29" s="16">
        <f t="shared" si="0"/>
        <v>3633.28</v>
      </c>
    </row>
    <row r="30" spans="1:9" s="7" customFormat="1" ht="20.5" customHeight="1">
      <c r="A30" s="4">
        <v>4</v>
      </c>
      <c r="B30" s="37" t="s">
        <v>49</v>
      </c>
      <c r="C30" s="38" t="s">
        <v>10</v>
      </c>
      <c r="D30" s="5">
        <v>27.9</v>
      </c>
      <c r="E30" s="5">
        <f>E21</f>
        <v>201</v>
      </c>
      <c r="F30" s="16">
        <f t="shared" si="0"/>
        <v>5607.9</v>
      </c>
    </row>
    <row r="31" spans="1:9" s="7" customFormat="1" ht="20.5" customHeight="1">
      <c r="A31" s="4">
        <v>5</v>
      </c>
      <c r="B31" s="37" t="s">
        <v>50</v>
      </c>
      <c r="C31" s="38" t="s">
        <v>10</v>
      </c>
      <c r="D31" s="5">
        <f>3.8*10*2+2.7*3.53+(42-2.7)*4.33-D30</f>
        <v>227.8</v>
      </c>
      <c r="E31" s="5">
        <f>E22</f>
        <v>435.08</v>
      </c>
      <c r="F31" s="16">
        <f t="shared" si="0"/>
        <v>99111.22</v>
      </c>
    </row>
    <row r="32" spans="1:9" s="7" customFormat="1" ht="20.5" customHeight="1">
      <c r="A32" s="4">
        <v>6</v>
      </c>
      <c r="B32" s="37" t="s">
        <v>42</v>
      </c>
      <c r="C32" s="38" t="s">
        <v>10</v>
      </c>
      <c r="D32" s="15">
        <f>(0.4+1.73)*20+(0.4+2.09)*(42-2.7)</f>
        <v>140.46</v>
      </c>
      <c r="E32" s="5">
        <v>34.96</v>
      </c>
      <c r="F32" s="16">
        <f t="shared" si="0"/>
        <v>4910.4799999999996</v>
      </c>
    </row>
    <row r="33" spans="1:6" s="7" customFormat="1" ht="20.5" customHeight="1">
      <c r="A33" s="4">
        <v>7</v>
      </c>
      <c r="B33" s="37" t="s">
        <v>51</v>
      </c>
      <c r="C33" s="38" t="s">
        <v>13</v>
      </c>
      <c r="D33" s="5">
        <f>4.33*5</f>
        <v>21.65</v>
      </c>
      <c r="E33" s="5">
        <v>106.2</v>
      </c>
      <c r="F33" s="16">
        <f t="shared" si="0"/>
        <v>2299.23</v>
      </c>
    </row>
    <row r="34" spans="1:6" s="7" customFormat="1" ht="20.5" customHeight="1">
      <c r="A34" s="4">
        <v>8</v>
      </c>
      <c r="B34" s="37" t="s">
        <v>45</v>
      </c>
      <c r="C34" s="38" t="s">
        <v>13</v>
      </c>
      <c r="D34" s="5">
        <f>2.51*10*2+2.7*1.91+(42-2.7)*2.81</f>
        <v>165.79</v>
      </c>
      <c r="E34" s="5">
        <f>E23</f>
        <v>24.44</v>
      </c>
      <c r="F34" s="16">
        <f t="shared" si="0"/>
        <v>4051.91</v>
      </c>
    </row>
    <row r="35" spans="1:6" s="7" customFormat="1" ht="20.5" customHeight="1">
      <c r="A35" s="4">
        <v>9</v>
      </c>
      <c r="B35" s="37" t="s">
        <v>46</v>
      </c>
      <c r="C35" s="38" t="s">
        <v>13</v>
      </c>
      <c r="D35" s="5">
        <f>D34</f>
        <v>165.79</v>
      </c>
      <c r="E35" s="5">
        <f>E24</f>
        <v>18.38</v>
      </c>
      <c r="F35" s="16">
        <f t="shared" si="0"/>
        <v>3047.22</v>
      </c>
    </row>
    <row r="36" spans="1:6" s="7" customFormat="1" ht="20.5" customHeight="1">
      <c r="A36" s="3" t="s">
        <v>18</v>
      </c>
      <c r="B36" s="33" t="s">
        <v>52</v>
      </c>
      <c r="C36" s="34"/>
      <c r="D36" s="35"/>
      <c r="E36" s="35"/>
      <c r="F36" s="36"/>
    </row>
    <row r="37" spans="1:6" s="7" customFormat="1" ht="20.5" customHeight="1">
      <c r="A37" s="4">
        <v>1</v>
      </c>
      <c r="B37" s="13" t="s">
        <v>40</v>
      </c>
      <c r="C37" s="14" t="s">
        <v>10</v>
      </c>
      <c r="D37" s="5">
        <v>0</v>
      </c>
      <c r="E37" s="5">
        <v>11.84</v>
      </c>
      <c r="F37" s="16">
        <f t="shared" si="0"/>
        <v>0</v>
      </c>
    </row>
    <row r="38" spans="1:6" s="7" customFormat="1" ht="20.5" customHeight="1">
      <c r="A38" s="4">
        <v>2</v>
      </c>
      <c r="B38" s="13" t="s">
        <v>42</v>
      </c>
      <c r="C38" s="14" t="s">
        <v>10</v>
      </c>
      <c r="D38" s="5">
        <v>0</v>
      </c>
      <c r="E38" s="5">
        <v>34.96</v>
      </c>
      <c r="F38" s="16">
        <f t="shared" si="0"/>
        <v>0</v>
      </c>
    </row>
    <row r="39" spans="1:6" s="7" customFormat="1" ht="20.5" customHeight="1">
      <c r="A39" s="4">
        <v>3</v>
      </c>
      <c r="B39" s="13" t="s">
        <v>53</v>
      </c>
      <c r="C39" s="14" t="s">
        <v>10</v>
      </c>
      <c r="D39" s="15">
        <f>(62-2.7)*0.9*0.1</f>
        <v>5.34</v>
      </c>
      <c r="E39" s="5">
        <v>201.16</v>
      </c>
      <c r="F39" s="16">
        <f t="shared" si="0"/>
        <v>1074.19</v>
      </c>
    </row>
    <row r="40" spans="1:6" s="7" customFormat="1" ht="20.5" customHeight="1">
      <c r="A40" s="4">
        <v>4</v>
      </c>
      <c r="B40" s="13" t="s">
        <v>54</v>
      </c>
      <c r="C40" s="14" t="s">
        <v>13</v>
      </c>
      <c r="D40" s="5">
        <f>(62-2.7)*0.9</f>
        <v>53.37</v>
      </c>
      <c r="E40" s="5">
        <v>56.85</v>
      </c>
      <c r="F40" s="16">
        <f t="shared" si="0"/>
        <v>3034.08</v>
      </c>
    </row>
    <row r="41" spans="1:6" s="7" customFormat="1" ht="20.5" customHeight="1">
      <c r="A41" s="4">
        <v>5</v>
      </c>
      <c r="B41" s="13" t="s">
        <v>55</v>
      </c>
      <c r="C41" s="14" t="s">
        <v>10</v>
      </c>
      <c r="D41" s="15">
        <f>(62-2.7)*0.3*0.3</f>
        <v>5.34</v>
      </c>
      <c r="E41" s="5">
        <f>E22</f>
        <v>435.08</v>
      </c>
      <c r="F41" s="16">
        <f t="shared" si="0"/>
        <v>2323.33</v>
      </c>
    </row>
    <row r="42" spans="1:6" s="7" customFormat="1" ht="20.5" customHeight="1">
      <c r="A42" s="4">
        <v>6</v>
      </c>
      <c r="B42" s="13" t="s">
        <v>45</v>
      </c>
      <c r="C42" s="14" t="s">
        <v>13</v>
      </c>
      <c r="D42" s="15">
        <f>(62-2.7)*0.3</f>
        <v>17.79</v>
      </c>
      <c r="E42" s="5">
        <f>E23</f>
        <v>24.44</v>
      </c>
      <c r="F42" s="16">
        <f t="shared" si="0"/>
        <v>434.79</v>
      </c>
    </row>
    <row r="43" spans="1:6" s="7" customFormat="1" ht="20.5" customHeight="1">
      <c r="A43" s="4">
        <v>7</v>
      </c>
      <c r="B43" s="13" t="s">
        <v>46</v>
      </c>
      <c r="C43" s="14" t="s">
        <v>13</v>
      </c>
      <c r="D43" s="15">
        <f>(62-2.7)*0.3</f>
        <v>17.79</v>
      </c>
      <c r="E43" s="5">
        <f>E24</f>
        <v>18.38</v>
      </c>
      <c r="F43" s="16">
        <f t="shared" si="0"/>
        <v>326.98</v>
      </c>
    </row>
    <row r="44" spans="1:6" s="7" customFormat="1" ht="20.5" customHeight="1">
      <c r="A44" s="3" t="s">
        <v>65</v>
      </c>
      <c r="B44" s="13" t="s">
        <v>56</v>
      </c>
      <c r="C44" s="19"/>
      <c r="D44" s="5"/>
      <c r="E44" s="5"/>
      <c r="F44" s="16"/>
    </row>
    <row r="45" spans="1:6" s="7" customFormat="1" ht="20.5" customHeight="1">
      <c r="A45" s="4">
        <v>1</v>
      </c>
      <c r="B45" s="13" t="s">
        <v>40</v>
      </c>
      <c r="C45" s="14" t="s">
        <v>10</v>
      </c>
      <c r="D45" s="5">
        <v>30</v>
      </c>
      <c r="E45" s="5">
        <v>11.84</v>
      </c>
      <c r="F45" s="16">
        <f t="shared" si="0"/>
        <v>355.2</v>
      </c>
    </row>
    <row r="46" spans="1:6" s="7" customFormat="1" ht="20.5" customHeight="1">
      <c r="A46" s="4">
        <v>2</v>
      </c>
      <c r="B46" s="13" t="s">
        <v>42</v>
      </c>
      <c r="C46" s="14" t="s">
        <v>10</v>
      </c>
      <c r="D46" s="5">
        <v>8</v>
      </c>
      <c r="E46" s="5">
        <v>34.96</v>
      </c>
      <c r="F46" s="16">
        <f t="shared" si="0"/>
        <v>279.68</v>
      </c>
    </row>
    <row r="47" spans="1:6" s="7" customFormat="1" ht="20.5" customHeight="1">
      <c r="A47" s="4">
        <v>3</v>
      </c>
      <c r="B47" s="13" t="s">
        <v>44</v>
      </c>
      <c r="C47" s="14" t="s">
        <v>10</v>
      </c>
      <c r="D47" s="20">
        <f>12.75*2.7-8.95*1.5</f>
        <v>21</v>
      </c>
      <c r="E47" s="5">
        <f>E22</f>
        <v>435.08</v>
      </c>
      <c r="F47" s="16">
        <f t="shared" si="0"/>
        <v>9136.68</v>
      </c>
    </row>
    <row r="48" spans="1:6" s="7" customFormat="1" ht="20.5" customHeight="1">
      <c r="A48" s="4">
        <v>4</v>
      </c>
      <c r="B48" s="13" t="s">
        <v>57</v>
      </c>
      <c r="C48" s="14" t="s">
        <v>10</v>
      </c>
      <c r="D48" s="5">
        <f>9*1.5*0.1</f>
        <v>1.35</v>
      </c>
      <c r="E48" s="5">
        <v>513.96</v>
      </c>
      <c r="F48" s="16">
        <f t="shared" si="0"/>
        <v>693.85</v>
      </c>
    </row>
    <row r="49" spans="1:6" s="7" customFormat="1" ht="20.5" customHeight="1">
      <c r="A49" s="4">
        <v>5</v>
      </c>
      <c r="B49" s="13" t="s">
        <v>58</v>
      </c>
      <c r="C49" s="14" t="s">
        <v>10</v>
      </c>
      <c r="D49" s="15">
        <f>1.5*1.7*0.12</f>
        <v>0.31</v>
      </c>
      <c r="E49" s="5">
        <v>690.81</v>
      </c>
      <c r="F49" s="16">
        <f t="shared" si="0"/>
        <v>214.15</v>
      </c>
    </row>
    <row r="50" spans="1:6" s="7" customFormat="1" ht="20.5" customHeight="1">
      <c r="A50" s="4">
        <v>6</v>
      </c>
      <c r="B50" s="13" t="s">
        <v>45</v>
      </c>
      <c r="C50" s="14" t="s">
        <v>13</v>
      </c>
      <c r="D50" s="5">
        <f>12.75*2</f>
        <v>25.5</v>
      </c>
      <c r="E50" s="5">
        <f>E42</f>
        <v>24.44</v>
      </c>
      <c r="F50" s="16">
        <f t="shared" si="0"/>
        <v>623.22</v>
      </c>
    </row>
    <row r="51" spans="1:6" s="7" customFormat="1" ht="20.5" customHeight="1">
      <c r="A51" s="4">
        <v>7</v>
      </c>
      <c r="B51" s="13" t="s">
        <v>46</v>
      </c>
      <c r="C51" s="14" t="s">
        <v>13</v>
      </c>
      <c r="D51" s="5">
        <f>D50</f>
        <v>25.5</v>
      </c>
      <c r="E51" s="5">
        <f>E43</f>
        <v>18.38</v>
      </c>
      <c r="F51" s="16">
        <f t="shared" si="0"/>
        <v>468.69</v>
      </c>
    </row>
    <row r="52" spans="1:6" s="7" customFormat="1" ht="20.5" customHeight="1">
      <c r="A52" s="3" t="s">
        <v>66</v>
      </c>
      <c r="B52" s="13" t="s">
        <v>59</v>
      </c>
      <c r="C52" s="19"/>
      <c r="D52" s="5"/>
      <c r="E52" s="5"/>
      <c r="F52" s="16"/>
    </row>
    <row r="53" spans="1:6" s="7" customFormat="1" ht="20.5" customHeight="1">
      <c r="A53" s="4">
        <v>1</v>
      </c>
      <c r="B53" s="13" t="s">
        <v>40</v>
      </c>
      <c r="C53" s="14" t="s">
        <v>10</v>
      </c>
      <c r="D53" s="5">
        <v>31</v>
      </c>
      <c r="E53" s="5">
        <v>11.84</v>
      </c>
      <c r="F53" s="16">
        <f t="shared" si="0"/>
        <v>367.04</v>
      </c>
    </row>
    <row r="54" spans="1:6" s="7" customFormat="1" ht="20.5" customHeight="1">
      <c r="A54" s="4">
        <v>2</v>
      </c>
      <c r="B54" s="13" t="s">
        <v>60</v>
      </c>
      <c r="C54" s="14" t="s">
        <v>10</v>
      </c>
      <c r="D54" s="5">
        <v>28</v>
      </c>
      <c r="E54" s="5">
        <v>34.96</v>
      </c>
      <c r="F54" s="16">
        <f t="shared" si="0"/>
        <v>978.88</v>
      </c>
    </row>
    <row r="55" spans="1:6" s="7" customFormat="1" ht="20.5" customHeight="1">
      <c r="A55" s="4">
        <v>3</v>
      </c>
      <c r="B55" s="13" t="s">
        <v>69</v>
      </c>
      <c r="C55" s="14" t="s">
        <v>34</v>
      </c>
      <c r="D55" s="5">
        <v>11</v>
      </c>
      <c r="E55" s="5">
        <v>87.2</v>
      </c>
      <c r="F55" s="16">
        <f t="shared" si="0"/>
        <v>959.2</v>
      </c>
    </row>
    <row r="56" spans="1:6" s="7" customFormat="1" ht="20.5" customHeight="1">
      <c r="A56" s="4">
        <v>4</v>
      </c>
      <c r="B56" s="13" t="s">
        <v>67</v>
      </c>
      <c r="C56" s="14" t="s">
        <v>35</v>
      </c>
      <c r="D56" s="5">
        <v>1</v>
      </c>
      <c r="E56" s="5">
        <v>360</v>
      </c>
      <c r="F56" s="16">
        <f t="shared" si="0"/>
        <v>360</v>
      </c>
    </row>
    <row r="57" spans="1:6" s="7" customFormat="1" ht="20.5" customHeight="1">
      <c r="A57" s="4">
        <v>5</v>
      </c>
      <c r="B57" s="13" t="s">
        <v>61</v>
      </c>
      <c r="C57" s="14" t="s">
        <v>35</v>
      </c>
      <c r="D57" s="5">
        <v>1</v>
      </c>
      <c r="E57" s="5">
        <v>230</v>
      </c>
      <c r="F57" s="16">
        <f t="shared" si="0"/>
        <v>230</v>
      </c>
    </row>
    <row r="58" spans="1:6" s="7" customFormat="1" ht="20.5" customHeight="1">
      <c r="A58" s="4">
        <v>6</v>
      </c>
      <c r="B58" s="13" t="s">
        <v>62</v>
      </c>
      <c r="C58" s="14" t="s">
        <v>36</v>
      </c>
      <c r="D58" s="5">
        <v>1</v>
      </c>
      <c r="E58" s="5">
        <v>850</v>
      </c>
      <c r="F58" s="16">
        <f t="shared" si="0"/>
        <v>850</v>
      </c>
    </row>
    <row r="59" spans="1:6" s="7" customFormat="1" ht="20.5" customHeight="1">
      <c r="A59" s="4">
        <v>7</v>
      </c>
      <c r="B59" s="13" t="s">
        <v>63</v>
      </c>
      <c r="C59" s="14" t="s">
        <v>36</v>
      </c>
      <c r="D59" s="5">
        <v>1</v>
      </c>
      <c r="E59" s="5">
        <v>1588.03</v>
      </c>
      <c r="F59" s="16">
        <f t="shared" si="0"/>
        <v>1588.03</v>
      </c>
    </row>
    <row r="60" spans="1:6" s="7" customFormat="1" ht="20.5" customHeight="1">
      <c r="A60" s="3" t="s">
        <v>22</v>
      </c>
      <c r="B60" s="13" t="s">
        <v>64</v>
      </c>
      <c r="C60" s="5"/>
      <c r="D60" s="5"/>
      <c r="E60" s="5"/>
      <c r="F60" s="6">
        <f>SUM(F61:F61)</f>
        <v>8469.14</v>
      </c>
    </row>
    <row r="61" spans="1:6" s="7" customFormat="1" ht="20.5" customHeight="1">
      <c r="A61" s="3">
        <v>1</v>
      </c>
      <c r="B61" s="13" t="s">
        <v>11</v>
      </c>
      <c r="C61" s="5" t="s">
        <v>8</v>
      </c>
      <c r="D61" s="5">
        <v>3</v>
      </c>
      <c r="E61" s="5">
        <f>F5</f>
        <v>282304.55</v>
      </c>
      <c r="F61" s="6">
        <f t="shared" ref="F61" si="1">ROUND(D61%*E61,2)</f>
        <v>8469.14</v>
      </c>
    </row>
    <row r="62" spans="1:6" s="7" customFormat="1" ht="20.5" customHeight="1">
      <c r="A62" s="3" t="s">
        <v>23</v>
      </c>
      <c r="B62" s="13" t="s">
        <v>9</v>
      </c>
      <c r="C62" s="5"/>
      <c r="D62" s="5"/>
      <c r="E62" s="5"/>
      <c r="F62" s="6">
        <f>F63</f>
        <v>5815.47</v>
      </c>
    </row>
    <row r="63" spans="1:6" s="7" customFormat="1" ht="31">
      <c r="A63" s="3">
        <v>1</v>
      </c>
      <c r="B63" s="13" t="s">
        <v>12</v>
      </c>
      <c r="C63" s="5" t="s">
        <v>8</v>
      </c>
      <c r="D63" s="5">
        <v>2</v>
      </c>
      <c r="E63" s="5">
        <f>F5+F60</f>
        <v>290773.69</v>
      </c>
      <c r="F63" s="6">
        <f>ROUND(D63%*E63,2)</f>
        <v>5815.47</v>
      </c>
    </row>
  </sheetData>
  <autoFilter ref="A5:B63" xr:uid="{00000000-0001-0000-0000-000000000000}"/>
  <mergeCells count="5">
    <mergeCell ref="A4:B4"/>
    <mergeCell ref="A1:F1"/>
    <mergeCell ref="A2:B2"/>
    <mergeCell ref="C2:D2"/>
    <mergeCell ref="E2:F2"/>
  </mergeCells>
  <phoneticPr fontId="2" type="noConversion"/>
  <printOptions horizontalCentered="1"/>
  <pageMargins left="0.39305555555555599" right="0.39305555555555599" top="0.59375" bottom="0.39305555555555599" header="0.59375" footer="0.196527777777778"/>
  <pageSetup paperSize="9" orientation="portrait"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璧山区正兴镇沙塝村廖家基房山坪塘整治工程全费用综合单价审核表</vt:lpstr>
      <vt:lpstr>璧山区正兴镇沙塝村廖家基房山坪塘整治工程全费用综合单价审核表!Print_Titles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宗川 陈</cp:lastModifiedBy>
  <cp:lastPrinted>2024-09-09T13:31:51Z</cp:lastPrinted>
  <dcterms:created xsi:type="dcterms:W3CDTF">2020-05-27T16:38:00Z</dcterms:created>
  <dcterms:modified xsi:type="dcterms:W3CDTF">2024-09-09T13:31:54Z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5CC2B197C6EB46D99EFB9C9EA6122EC6</vt:lpwstr>
  </property>
</Properties>
</file>