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F:\未完成项目\陈宗川\张顺\2024.09.09璧山区2024年正兴镇（团结村、尖山子村、卫寺村）山坪塘整治工程  挂靠集锦\审核资料\"/>
    </mc:Choice>
  </mc:AlternateContent>
  <xr:revisionPtr revIDLastSave="0" documentId="13_ncr:1_{C8AA6EFF-5C71-4FEC-B5F1-03E252DC1CE1}" xr6:coauthVersionLast="47" xr6:coauthVersionMax="47" xr10:uidLastSave="{00000000-0000-0000-0000-000000000000}"/>
  <bookViews>
    <workbookView xWindow="-110" yWindow="-110" windowWidth="25820" windowHeight="15500" tabRatio="752" xr2:uid="{00000000-000D-0000-FFFF-FFFF00000000}"/>
  </bookViews>
  <sheets>
    <sheet name="璧山区2024年正兴镇全费用综合单价审核表" sheetId="1" r:id="rId1"/>
  </sheets>
  <definedNames>
    <definedName name="_xlnm._FilterDatabase" localSheetId="0" hidden="1">璧山区2024年正兴镇全费用综合单价审核表!$A$5:$B$72</definedName>
    <definedName name="_xlnm.Print_Titles" localSheetId="0">璧山区2024年正兴镇全费用综合单价审核表!$1:$3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1" l="1"/>
  <c r="F63" i="1"/>
  <c r="D58" i="1" l="1"/>
  <c r="F58" i="1" s="1"/>
  <c r="D57" i="1"/>
  <c r="F57" i="1" s="1"/>
  <c r="D59" i="1"/>
  <c r="F59" i="1" s="1"/>
  <c r="D60" i="1"/>
  <c r="F60" i="1" s="1"/>
  <c r="D68" i="1"/>
  <c r="F68" i="1" s="1"/>
  <c r="D67" i="1"/>
  <c r="F67" i="1" s="1"/>
  <c r="D66" i="1"/>
  <c r="F66" i="1" s="1"/>
  <c r="D65" i="1"/>
  <c r="F65" i="1" s="1"/>
  <c r="D64" i="1"/>
  <c r="F64" i="1" s="1"/>
  <c r="D55" i="1"/>
  <c r="F55" i="1" s="1"/>
  <c r="D54" i="1"/>
  <c r="F54" i="1" s="1"/>
  <c r="D53" i="1"/>
  <c r="F53" i="1" s="1"/>
  <c r="D52" i="1"/>
  <c r="F52" i="1" s="1"/>
  <c r="D51" i="1"/>
  <c r="F51" i="1" s="1"/>
  <c r="D50" i="1"/>
  <c r="F50" i="1" s="1"/>
  <c r="D49" i="1"/>
  <c r="F49" i="1" s="1"/>
  <c r="D46" i="1"/>
  <c r="F46" i="1" s="1"/>
  <c r="D42" i="1"/>
  <c r="F42" i="1" s="1"/>
  <c r="D45" i="1"/>
  <c r="F45" i="1" s="1"/>
  <c r="D44" i="1"/>
  <c r="F44" i="1" s="1"/>
  <c r="D43" i="1"/>
  <c r="F43" i="1" s="1"/>
  <c r="D41" i="1"/>
  <c r="F41" i="1" s="1"/>
  <c r="D40" i="1"/>
  <c r="F40" i="1" s="1"/>
  <c r="D39" i="1"/>
  <c r="F39" i="1" s="1"/>
  <c r="D37" i="1"/>
  <c r="F37" i="1" s="1"/>
  <c r="D36" i="1"/>
  <c r="F36" i="1" s="1"/>
  <c r="D35" i="1"/>
  <c r="F35" i="1" s="1"/>
  <c r="D31" i="1"/>
  <c r="D32" i="1" s="1"/>
  <c r="D28" i="1"/>
  <c r="D27" i="1"/>
  <c r="D26" i="1"/>
  <c r="F26" i="1" s="1"/>
  <c r="D25" i="1"/>
  <c r="F25" i="1" s="1"/>
  <c r="D22" i="1"/>
  <c r="D21" i="1"/>
  <c r="D20" i="1"/>
  <c r="D19" i="1"/>
  <c r="D18" i="1"/>
  <c r="D17" i="1"/>
  <c r="D14" i="1"/>
  <c r="D15" i="1" s="1"/>
  <c r="D13" i="1"/>
  <c r="D12" i="1"/>
  <c r="D11" i="1"/>
  <c r="D10" i="1"/>
  <c r="D9" i="1"/>
  <c r="D8" i="1"/>
  <c r="D29" i="1" l="1"/>
  <c r="D30" i="1" s="1"/>
  <c r="F30" i="1" s="1"/>
  <c r="F22" i="1"/>
  <c r="F20" i="1"/>
  <c r="F19" i="1"/>
  <c r="F18" i="1"/>
  <c r="F15" i="1"/>
  <c r="F9" i="1"/>
  <c r="F8" i="1"/>
  <c r="F17" i="1"/>
  <c r="F32" i="1"/>
  <c r="F28" i="1"/>
  <c r="F13" i="1"/>
  <c r="F21" i="1"/>
  <c r="F31" i="1" l="1"/>
  <c r="F29" i="1"/>
  <c r="F27" i="1"/>
  <c r="F11" i="1"/>
  <c r="F12" i="1"/>
  <c r="F34" i="1"/>
  <c r="F14" i="1"/>
  <c r="F10" i="1"/>
  <c r="F5" i="1" l="1"/>
  <c r="E70" i="1" s="1"/>
  <c r="F70" i="1" s="1"/>
  <c r="F69" i="1" s="1"/>
  <c r="E72" i="1" s="1"/>
  <c r="F72" i="1" l="1"/>
  <c r="F71" i="1" s="1"/>
  <c r="F4" i="1" s="1"/>
</calcChain>
</file>

<file path=xl/sharedStrings.xml><?xml version="1.0" encoding="utf-8"?>
<sst xmlns="http://schemas.openxmlformats.org/spreadsheetml/2006/main" count="146" uniqueCount="62">
  <si>
    <t>金额单位：元</t>
  </si>
  <si>
    <t>编号</t>
  </si>
  <si>
    <t>工程项目及名称</t>
  </si>
  <si>
    <t>单位</t>
  </si>
  <si>
    <t>工程量</t>
  </si>
  <si>
    <t>综合单价</t>
  </si>
  <si>
    <t>合价</t>
  </si>
  <si>
    <t>第一部分 建筑工程</t>
  </si>
  <si>
    <t>%</t>
  </si>
  <si>
    <t>安全生产费</t>
  </si>
  <si>
    <t>m³</t>
  </si>
  <si>
    <t>其他临时工程（综合单价为建筑工程合价）</t>
    <phoneticPr fontId="7" type="noConversion"/>
  </si>
  <si>
    <t>安全生产费（综合单价为建筑工程合价+施工临时工程合价）</t>
    <phoneticPr fontId="7" type="noConversion"/>
  </si>
  <si>
    <t>m²</t>
  </si>
  <si>
    <t>合计</t>
    <phoneticPr fontId="2" type="noConversion"/>
  </si>
  <si>
    <t>壹</t>
    <phoneticPr fontId="2" type="noConversion"/>
  </si>
  <si>
    <t>贰</t>
    <phoneticPr fontId="2" type="noConversion"/>
  </si>
  <si>
    <t>叁</t>
    <phoneticPr fontId="2" type="noConversion"/>
  </si>
  <si>
    <t>一</t>
    <phoneticPr fontId="2" type="noConversion"/>
  </si>
  <si>
    <t>土方开挖</t>
    <phoneticPr fontId="7" type="noConversion"/>
  </si>
  <si>
    <t>石方开挖</t>
    <phoneticPr fontId="7" type="noConversion"/>
  </si>
  <si>
    <t>土方夯实回填</t>
    <phoneticPr fontId="7" type="noConversion"/>
  </si>
  <si>
    <t>M7.5浆砌条石</t>
    <phoneticPr fontId="7" type="noConversion"/>
  </si>
  <si>
    <t>条石表面加工</t>
    <phoneticPr fontId="7" type="noConversion"/>
  </si>
  <si>
    <t>M10水泥砂浆开槽勾缝</t>
    <phoneticPr fontId="7" type="noConversion"/>
  </si>
  <si>
    <t>M7.5浆砌条石挡墙</t>
    <phoneticPr fontId="7" type="noConversion"/>
  </si>
  <si>
    <t>坝顶</t>
    <phoneticPr fontId="7" type="noConversion"/>
  </si>
  <si>
    <t>碎石垫层（10cm厚）</t>
    <phoneticPr fontId="7" type="noConversion"/>
  </si>
  <si>
    <t>C20砼路面（10cm厚）</t>
    <phoneticPr fontId="7" type="noConversion"/>
  </si>
  <si>
    <t>M7.5浆砌条石框格</t>
    <phoneticPr fontId="7" type="noConversion"/>
  </si>
  <si>
    <t>溢洪道</t>
    <phoneticPr fontId="7" type="noConversion"/>
  </si>
  <si>
    <t>C20砼底板</t>
    <phoneticPr fontId="7" type="noConversion"/>
  </si>
  <si>
    <t>施工临时工程</t>
    <phoneticPr fontId="7" type="noConversion"/>
  </si>
  <si>
    <t>（一）</t>
  </si>
  <si>
    <t xml:space="preserve"> </t>
  </si>
  <si>
    <t>（二）</t>
  </si>
  <si>
    <t>二</t>
  </si>
  <si>
    <t>（三）</t>
  </si>
  <si>
    <t>三</t>
  </si>
  <si>
    <t>姚空坝山坪塘</t>
    <phoneticPr fontId="7" type="noConversion"/>
  </si>
  <si>
    <t>塘岸（A-A段）</t>
    <phoneticPr fontId="7" type="noConversion"/>
  </si>
  <si>
    <t>路基整平压实</t>
    <phoneticPr fontId="7" type="noConversion"/>
  </si>
  <si>
    <t>成品预制钢筋砼板</t>
    <phoneticPr fontId="7" type="noConversion"/>
  </si>
  <si>
    <t>塘岸（B-B段）</t>
    <phoneticPr fontId="7" type="noConversion"/>
  </si>
  <si>
    <t>尖山子村叫化岩山坪塘</t>
    <phoneticPr fontId="7" type="noConversion"/>
  </si>
  <si>
    <t>垮塌段</t>
    <phoneticPr fontId="7" type="noConversion"/>
  </si>
  <si>
    <t>浆砌条石拆除</t>
    <phoneticPr fontId="7" type="noConversion"/>
  </si>
  <si>
    <t>土石夯实回填</t>
    <phoneticPr fontId="7" type="noConversion"/>
  </si>
  <si>
    <t>旧条石翻安（M7.5浆砌条石）</t>
    <phoneticPr fontId="7" type="noConversion"/>
  </si>
  <si>
    <t>混凝土底板</t>
    <phoneticPr fontId="7" type="noConversion"/>
  </si>
  <si>
    <t>拆除损坏混凝土底板</t>
    <phoneticPr fontId="7" type="noConversion"/>
  </si>
  <si>
    <t>C15混凝土垫层</t>
    <phoneticPr fontId="7" type="noConversion"/>
  </si>
  <si>
    <t>C25混凝土底板</t>
    <phoneticPr fontId="7" type="noConversion"/>
  </si>
  <si>
    <t>延长段</t>
    <phoneticPr fontId="7" type="noConversion"/>
  </si>
  <si>
    <t>罗鼓凼山坪塘</t>
    <phoneticPr fontId="7" type="noConversion"/>
  </si>
  <si>
    <t>拆除砼路面</t>
    <phoneticPr fontId="7" type="noConversion"/>
  </si>
  <si>
    <t>下游坝坡</t>
    <phoneticPr fontId="7" type="noConversion"/>
  </si>
  <si>
    <t>回填土</t>
    <phoneticPr fontId="7" type="noConversion"/>
  </si>
  <si>
    <t>干砌条石</t>
    <phoneticPr fontId="7" type="noConversion"/>
  </si>
  <si>
    <t>C25预制钢筋砼板（2处）</t>
    <phoneticPr fontId="7" type="noConversion"/>
  </si>
  <si>
    <t>大坝夯实回填黏土(压实度≥0.93)</t>
    <phoneticPr fontId="7" type="noConversion"/>
  </si>
  <si>
    <t>璧山区2024年正兴镇（团结村、尖山子村、卫寺村）山坪塘整治工程全费用单价审核表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</si>
</sst>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>
    <font>
      <sz val="9"/>
      <color theme="1"/>
      <name val="??"/>
      <charset val="134"/>
      <scheme val="minor"/>
    </font>
    <font>
      <sz val="10"/>
      <color theme="1"/>
      <name val="??"/>
      <family val="2"/>
      <scheme val="minor"/>
    </font>
    <font>
      <sz val="9"/>
      <name val="宋体"/>
      <family val="3"/>
      <charset val="134"/>
    </font>
    <font>
      <sz val="18"/>
      <name val="方正小标宋_GBK"/>
      <family val="4"/>
      <charset val="134"/>
    </font>
    <font>
      <sz val="12"/>
      <name val="方正仿宋_GBK"/>
      <family val="4"/>
      <charset val="134"/>
    </font>
    <font>
      <sz val="12"/>
      <color indexed="8"/>
      <name val="方正仿宋_GBK"/>
      <family val="4"/>
      <charset val="134"/>
    </font>
    <font>
      <sz val="9"/>
      <color theme="1"/>
      <name val="??"/>
      <family val="2"/>
      <scheme val="minor"/>
    </font>
    <font>
      <sz val="9"/>
      <name val="??"/>
      <family val="2"/>
      <scheme val="minor"/>
    </font>
    <font>
      <sz val="12"/>
      <color theme="1"/>
      <name val="方正仿宋_GBK"/>
      <family val="4"/>
      <charset val="134"/>
    </font>
    <font>
      <b/>
      <sz val="12"/>
      <name val="方正仿宋_GBK"/>
      <family val="4"/>
      <charset val="134"/>
    </font>
    <font>
      <b/>
      <sz val="12"/>
      <color theme="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9">
    <xf numFmtId="0" fontId="0" fillId="0" borderId="0" xfId="0" applyAlignment="1"/>
    <xf numFmtId="0" fontId="0" fillId="0" borderId="0" xfId="1" applyFont="1"/>
    <xf numFmtId="0" fontId="1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176" fontId="4" fillId="0" borderId="3" xfId="1" applyNumberFormat="1" applyFont="1" applyBorder="1" applyAlignment="1">
      <alignment horizontal="center" vertical="center" wrapText="1"/>
    </xf>
    <xf numFmtId="0" fontId="8" fillId="0" borderId="0" xfId="1" applyFont="1"/>
    <xf numFmtId="0" fontId="9" fillId="0" borderId="3" xfId="1" applyFont="1" applyBorder="1" applyAlignment="1">
      <alignment vertical="center" wrapText="1"/>
    </xf>
    <xf numFmtId="0" fontId="9" fillId="0" borderId="3" xfId="1" applyFont="1" applyBorder="1" applyAlignment="1">
      <alignment horizontal="center" vertical="center" wrapText="1"/>
    </xf>
    <xf numFmtId="2" fontId="9" fillId="0" borderId="3" xfId="1" applyNumberFormat="1" applyFont="1" applyBorder="1" applyAlignment="1">
      <alignment horizontal="center" vertical="center" wrapText="1"/>
    </xf>
    <xf numFmtId="0" fontId="10" fillId="0" borderId="0" xfId="1" applyFont="1"/>
    <xf numFmtId="176" fontId="10" fillId="0" borderId="0" xfId="1" applyNumberFormat="1" applyFont="1"/>
    <xf numFmtId="0" fontId="4" fillId="0" borderId="2" xfId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2" fontId="4" fillId="0" borderId="3" xfId="1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8" fillId="0" borderId="0" xfId="1" applyNumberFormat="1" applyFont="1"/>
    <xf numFmtId="1" fontId="4" fillId="0" borderId="3" xfId="1" applyNumberFormat="1" applyFont="1" applyBorder="1" applyAlignment="1">
      <alignment horizontal="center" vertical="center" wrapText="1"/>
    </xf>
    <xf numFmtId="0" fontId="0" fillId="0" borderId="0" xfId="1" applyFont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176" fontId="9" fillId="0" borderId="3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vertical="center" wrapText="1"/>
    </xf>
  </cellXfs>
  <cellStyles count="2">
    <cellStyle name="Normal" xfId="1" xr:uid="{00000000-0005-0000-0000-000000000000}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showGridLines="0" tabSelected="1" workbookViewId="0">
      <pane xSplit="6" ySplit="3" topLeftCell="G4" activePane="bottomRight" state="frozen"/>
      <selection pane="topRight" activeCell="G1" sqref="G1"/>
      <selection pane="bottomLeft" activeCell="A5" sqref="A5"/>
      <selection pane="bottomRight" activeCell="B65" sqref="B65"/>
    </sheetView>
  </sheetViews>
  <sheetFormatPr defaultColWidth="9" defaultRowHeight="11.5"/>
  <cols>
    <col min="1" max="1" width="9.09765625" style="19" customWidth="1"/>
    <col min="2" max="2" width="48.5" style="1" customWidth="1"/>
    <col min="3" max="3" width="8.69921875" style="1" customWidth="1"/>
    <col min="4" max="5" width="12.69921875" style="19" customWidth="1"/>
    <col min="6" max="6" width="13.796875" style="19" bestFit="1" customWidth="1"/>
    <col min="7" max="7" width="9" style="1"/>
    <col min="8" max="8" width="23.19921875" style="1" customWidth="1"/>
    <col min="9" max="9" width="14.69921875" style="1" customWidth="1"/>
    <col min="10" max="16384" width="9" style="1"/>
  </cols>
  <sheetData>
    <row r="1" spans="1:8" ht="50" customHeight="1">
      <c r="A1" s="25" t="s">
        <v>61</v>
      </c>
      <c r="B1" s="25"/>
      <c r="C1" s="25"/>
      <c r="D1" s="25"/>
      <c r="E1" s="25"/>
      <c r="F1" s="25"/>
    </row>
    <row r="2" spans="1:8" s="2" customFormat="1" ht="20.149999999999999" customHeight="1">
      <c r="A2" s="26"/>
      <c r="B2" s="26"/>
      <c r="C2" s="26"/>
      <c r="D2" s="27"/>
      <c r="E2" s="28" t="s">
        <v>0</v>
      </c>
      <c r="F2" s="28"/>
    </row>
    <row r="3" spans="1:8" s="7" customFormat="1" ht="25" customHeight="1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</row>
    <row r="4" spans="1:8" s="11" customFormat="1" ht="25" customHeight="1">
      <c r="A4" s="23" t="s">
        <v>14</v>
      </c>
      <c r="B4" s="24"/>
      <c r="C4" s="8"/>
      <c r="D4" s="9"/>
      <c r="E4" s="9"/>
      <c r="F4" s="10">
        <f>F5+F69+F71</f>
        <v>215634.01</v>
      </c>
      <c r="H4" s="12"/>
    </row>
    <row r="5" spans="1:8" s="11" customFormat="1" ht="25" customHeight="1">
      <c r="A5" s="20" t="s">
        <v>15</v>
      </c>
      <c r="B5" s="21" t="s">
        <v>7</v>
      </c>
      <c r="C5" s="9"/>
      <c r="D5" s="9"/>
      <c r="E5" s="9"/>
      <c r="F5" s="22">
        <f>SUM(F6:F68)</f>
        <v>205248.44</v>
      </c>
    </row>
    <row r="6" spans="1:8" s="7" customFormat="1" ht="25" customHeight="1">
      <c r="A6" s="3" t="s">
        <v>18</v>
      </c>
      <c r="B6" s="13" t="s">
        <v>39</v>
      </c>
      <c r="C6" s="5"/>
      <c r="D6" s="5"/>
      <c r="E6" s="5"/>
      <c r="F6" s="6"/>
    </row>
    <row r="7" spans="1:8" s="7" customFormat="1" ht="25" customHeight="1">
      <c r="A7" s="4" t="s">
        <v>33</v>
      </c>
      <c r="B7" s="13" t="s">
        <v>40</v>
      </c>
      <c r="C7" s="14" t="s">
        <v>34</v>
      </c>
      <c r="D7" s="5"/>
      <c r="E7" s="5"/>
      <c r="F7" s="6"/>
    </row>
    <row r="8" spans="1:8" s="7" customFormat="1" ht="25" customHeight="1">
      <c r="A8" s="4">
        <v>1</v>
      </c>
      <c r="B8" s="13" t="s">
        <v>19</v>
      </c>
      <c r="C8" s="14" t="s">
        <v>10</v>
      </c>
      <c r="D8" s="15">
        <f>2.14*46*0.7</f>
        <v>68.91</v>
      </c>
      <c r="E8" s="5">
        <v>11.84</v>
      </c>
      <c r="F8" s="16">
        <f t="shared" ref="F8:F68" si="0">D8*E8</f>
        <v>815.89</v>
      </c>
    </row>
    <row r="9" spans="1:8" s="7" customFormat="1" ht="25" customHeight="1">
      <c r="A9" s="4">
        <v>2</v>
      </c>
      <c r="B9" s="13" t="s">
        <v>20</v>
      </c>
      <c r="C9" s="14" t="s">
        <v>10</v>
      </c>
      <c r="D9" s="15">
        <f>2.14*46*0.3</f>
        <v>29.53</v>
      </c>
      <c r="E9" s="5">
        <v>98.65</v>
      </c>
      <c r="F9" s="16">
        <f t="shared" si="0"/>
        <v>2913.13</v>
      </c>
    </row>
    <row r="10" spans="1:8" s="7" customFormat="1" ht="25" customHeight="1">
      <c r="A10" s="4">
        <v>3</v>
      </c>
      <c r="B10" s="13" t="s">
        <v>25</v>
      </c>
      <c r="C10" s="14" t="s">
        <v>10</v>
      </c>
      <c r="D10" s="15">
        <f>1.65*46</f>
        <v>75.900000000000006</v>
      </c>
      <c r="E10" s="5">
        <v>435.08</v>
      </c>
      <c r="F10" s="16">
        <f t="shared" si="0"/>
        <v>33022.57</v>
      </c>
    </row>
    <row r="11" spans="1:8" s="7" customFormat="1" ht="25" customHeight="1">
      <c r="A11" s="4">
        <v>4</v>
      </c>
      <c r="B11" s="13" t="s">
        <v>21</v>
      </c>
      <c r="C11" s="14" t="s">
        <v>10</v>
      </c>
      <c r="D11" s="15">
        <f>(0.48+0.23)*46</f>
        <v>32.659999999999997</v>
      </c>
      <c r="E11" s="5">
        <v>34.96</v>
      </c>
      <c r="F11" s="16">
        <f t="shared" si="0"/>
        <v>1141.79</v>
      </c>
    </row>
    <row r="12" spans="1:8" s="7" customFormat="1" ht="25" customHeight="1">
      <c r="A12" s="4">
        <v>5</v>
      </c>
      <c r="B12" s="13" t="s">
        <v>41</v>
      </c>
      <c r="C12" s="14" t="s">
        <v>13</v>
      </c>
      <c r="D12" s="15">
        <f>46*0.9</f>
        <v>41.4</v>
      </c>
      <c r="E12" s="5">
        <v>3.21</v>
      </c>
      <c r="F12" s="16">
        <f t="shared" si="0"/>
        <v>132.88999999999999</v>
      </c>
    </row>
    <row r="13" spans="1:8" s="7" customFormat="1" ht="25" customHeight="1">
      <c r="A13" s="4">
        <v>6</v>
      </c>
      <c r="B13" s="13" t="s">
        <v>42</v>
      </c>
      <c r="C13" s="14" t="s">
        <v>10</v>
      </c>
      <c r="D13" s="15">
        <f>46*0.9*0.12</f>
        <v>4.97</v>
      </c>
      <c r="E13" s="5">
        <v>690.81</v>
      </c>
      <c r="F13" s="16">
        <f t="shared" si="0"/>
        <v>3433.33</v>
      </c>
    </row>
    <row r="14" spans="1:8" s="7" customFormat="1" ht="25" customHeight="1">
      <c r="A14" s="4">
        <v>7</v>
      </c>
      <c r="B14" s="13" t="s">
        <v>23</v>
      </c>
      <c r="C14" s="14" t="s">
        <v>13</v>
      </c>
      <c r="D14" s="5">
        <f>46*1.51</f>
        <v>69.459999999999994</v>
      </c>
      <c r="E14" s="5">
        <v>24.44</v>
      </c>
      <c r="F14" s="16">
        <f t="shared" si="0"/>
        <v>1697.6</v>
      </c>
    </row>
    <row r="15" spans="1:8" s="7" customFormat="1" ht="25" customHeight="1">
      <c r="A15" s="4">
        <v>8</v>
      </c>
      <c r="B15" s="13" t="s">
        <v>24</v>
      </c>
      <c r="C15" s="14" t="s">
        <v>13</v>
      </c>
      <c r="D15" s="5">
        <f>D14</f>
        <v>69.459999999999994</v>
      </c>
      <c r="E15" s="5">
        <v>18.38</v>
      </c>
      <c r="F15" s="16">
        <f t="shared" si="0"/>
        <v>1276.67</v>
      </c>
    </row>
    <row r="16" spans="1:8" s="7" customFormat="1" ht="25" customHeight="1">
      <c r="A16" s="4" t="s">
        <v>35</v>
      </c>
      <c r="B16" s="13" t="s">
        <v>43</v>
      </c>
      <c r="C16" s="14"/>
      <c r="D16" s="5"/>
      <c r="E16" s="5"/>
      <c r="F16" s="16"/>
    </row>
    <row r="17" spans="1:9" s="7" customFormat="1" ht="25" customHeight="1">
      <c r="A17" s="4">
        <v>1</v>
      </c>
      <c r="B17" s="13" t="s">
        <v>19</v>
      </c>
      <c r="C17" s="14" t="s">
        <v>10</v>
      </c>
      <c r="D17" s="5">
        <f>2.07*57*0.7</f>
        <v>82.593000000000004</v>
      </c>
      <c r="E17" s="5">
        <v>11.84</v>
      </c>
      <c r="F17" s="16">
        <f t="shared" si="0"/>
        <v>977.9</v>
      </c>
    </row>
    <row r="18" spans="1:9" s="7" customFormat="1" ht="25" customHeight="1">
      <c r="A18" s="4">
        <v>2</v>
      </c>
      <c r="B18" s="13" t="s">
        <v>20</v>
      </c>
      <c r="C18" s="14" t="s">
        <v>10</v>
      </c>
      <c r="D18" s="5">
        <f>2.07*57*0.3</f>
        <v>35.396999999999998</v>
      </c>
      <c r="E18" s="5">
        <v>98.65</v>
      </c>
      <c r="F18" s="16">
        <f t="shared" si="0"/>
        <v>3491.91</v>
      </c>
    </row>
    <row r="19" spans="1:9" s="7" customFormat="1" ht="25" customHeight="1">
      <c r="A19" s="4">
        <v>3</v>
      </c>
      <c r="B19" s="13" t="s">
        <v>25</v>
      </c>
      <c r="C19" s="14" t="s">
        <v>10</v>
      </c>
      <c r="D19" s="15">
        <f>1.3*57</f>
        <v>74.099999999999994</v>
      </c>
      <c r="E19" s="5">
        <v>435.08</v>
      </c>
      <c r="F19" s="16">
        <f t="shared" si="0"/>
        <v>32239.43</v>
      </c>
    </row>
    <row r="20" spans="1:9" s="7" customFormat="1" ht="25" customHeight="1">
      <c r="A20" s="4">
        <v>4</v>
      </c>
      <c r="B20" s="13" t="s">
        <v>21</v>
      </c>
      <c r="C20" s="14" t="s">
        <v>10</v>
      </c>
      <c r="D20" s="5">
        <f>(0.51+0.23)*57</f>
        <v>42.18</v>
      </c>
      <c r="E20" s="5">
        <v>34.96</v>
      </c>
      <c r="F20" s="16">
        <f t="shared" si="0"/>
        <v>1474.61</v>
      </c>
    </row>
    <row r="21" spans="1:9" s="7" customFormat="1" ht="25" customHeight="1">
      <c r="A21" s="4">
        <v>5</v>
      </c>
      <c r="B21" s="13" t="s">
        <v>23</v>
      </c>
      <c r="C21" s="14" t="s">
        <v>10</v>
      </c>
      <c r="D21" s="5">
        <f>1.2*57</f>
        <v>68.400000000000006</v>
      </c>
      <c r="E21" s="5">
        <v>24.44</v>
      </c>
      <c r="F21" s="16">
        <f t="shared" si="0"/>
        <v>1671.7</v>
      </c>
    </row>
    <row r="22" spans="1:9" s="7" customFormat="1" ht="25" customHeight="1">
      <c r="A22" s="4">
        <v>6</v>
      </c>
      <c r="B22" s="13" t="s">
        <v>24</v>
      </c>
      <c r="C22" s="14" t="s">
        <v>10</v>
      </c>
      <c r="D22" s="5">
        <f>1.2*57</f>
        <v>68.400000000000006</v>
      </c>
      <c r="E22" s="5">
        <v>18.38</v>
      </c>
      <c r="F22" s="16">
        <f t="shared" si="0"/>
        <v>1257.19</v>
      </c>
    </row>
    <row r="23" spans="1:9" s="7" customFormat="1" ht="25" customHeight="1">
      <c r="A23" s="4" t="s">
        <v>36</v>
      </c>
      <c r="B23" s="13" t="s">
        <v>44</v>
      </c>
      <c r="C23" s="14"/>
      <c r="D23" s="5"/>
      <c r="E23" s="5"/>
      <c r="F23" s="16"/>
    </row>
    <row r="24" spans="1:9" s="7" customFormat="1" ht="25" customHeight="1">
      <c r="A24" s="4" t="s">
        <v>33</v>
      </c>
      <c r="B24" s="13" t="s">
        <v>45</v>
      </c>
      <c r="C24" s="14"/>
      <c r="D24" s="15"/>
      <c r="E24" s="5"/>
      <c r="F24" s="16"/>
    </row>
    <row r="25" spans="1:9" s="7" customFormat="1" ht="25" customHeight="1">
      <c r="A25" s="4">
        <v>1</v>
      </c>
      <c r="B25" s="13" t="s">
        <v>46</v>
      </c>
      <c r="C25" s="14" t="s">
        <v>10</v>
      </c>
      <c r="D25" s="5">
        <f>1.5*0.3*16</f>
        <v>7.2</v>
      </c>
      <c r="E25" s="5">
        <v>65.06</v>
      </c>
      <c r="F25" s="16">
        <f t="shared" si="0"/>
        <v>468.43</v>
      </c>
    </row>
    <row r="26" spans="1:9" s="7" customFormat="1" ht="25" customHeight="1">
      <c r="A26" s="4">
        <v>2</v>
      </c>
      <c r="B26" s="13" t="s">
        <v>19</v>
      </c>
      <c r="C26" s="14" t="s">
        <v>10</v>
      </c>
      <c r="D26" s="5">
        <f>1.52*16*0.2</f>
        <v>4.8639999999999999</v>
      </c>
      <c r="E26" s="5">
        <v>11.84</v>
      </c>
      <c r="F26" s="16">
        <f t="shared" si="0"/>
        <v>57.59</v>
      </c>
    </row>
    <row r="27" spans="1:9" s="7" customFormat="1" ht="25" customHeight="1">
      <c r="A27" s="4">
        <v>3</v>
      </c>
      <c r="B27" s="13" t="s">
        <v>20</v>
      </c>
      <c r="C27" s="14" t="s">
        <v>10</v>
      </c>
      <c r="D27" s="5">
        <f>1.52*16*0.8</f>
        <v>19.456</v>
      </c>
      <c r="E27" s="5">
        <v>98.65</v>
      </c>
      <c r="F27" s="16">
        <f t="shared" si="0"/>
        <v>1919.33</v>
      </c>
    </row>
    <row r="28" spans="1:9" s="7" customFormat="1" ht="25" customHeight="1">
      <c r="A28" s="4">
        <v>4</v>
      </c>
      <c r="B28" s="13" t="s">
        <v>47</v>
      </c>
      <c r="C28" s="14" t="s">
        <v>10</v>
      </c>
      <c r="D28" s="15">
        <f>0.62*16</f>
        <v>9.92</v>
      </c>
      <c r="E28" s="5">
        <v>34.96</v>
      </c>
      <c r="F28" s="16">
        <f t="shared" si="0"/>
        <v>346.8</v>
      </c>
      <c r="I28" s="17"/>
    </row>
    <row r="29" spans="1:9" s="7" customFormat="1" ht="25" customHeight="1">
      <c r="A29" s="4">
        <v>5</v>
      </c>
      <c r="B29" s="13" t="s">
        <v>48</v>
      </c>
      <c r="C29" s="14" t="s">
        <v>10</v>
      </c>
      <c r="D29" s="15">
        <f>D25*0.6</f>
        <v>4.32</v>
      </c>
      <c r="E29" s="5">
        <v>201</v>
      </c>
      <c r="F29" s="16">
        <f t="shared" si="0"/>
        <v>868.32</v>
      </c>
    </row>
    <row r="30" spans="1:9" s="7" customFormat="1" ht="25" customHeight="1">
      <c r="A30" s="4">
        <v>6</v>
      </c>
      <c r="B30" s="13" t="s">
        <v>22</v>
      </c>
      <c r="C30" s="14" t="s">
        <v>10</v>
      </c>
      <c r="D30" s="5">
        <f>1.22*16-D29</f>
        <v>15.2</v>
      </c>
      <c r="E30" s="5">
        <v>435.08</v>
      </c>
      <c r="F30" s="16">
        <f t="shared" si="0"/>
        <v>6613.22</v>
      </c>
    </row>
    <row r="31" spans="1:9" s="7" customFormat="1" ht="25" customHeight="1">
      <c r="A31" s="4">
        <v>7</v>
      </c>
      <c r="B31" s="13" t="s">
        <v>23</v>
      </c>
      <c r="C31" s="14" t="s">
        <v>13</v>
      </c>
      <c r="D31" s="5">
        <f>1*16</f>
        <v>16</v>
      </c>
      <c r="E31" s="5">
        <v>24.44</v>
      </c>
      <c r="F31" s="16">
        <f t="shared" si="0"/>
        <v>391.04</v>
      </c>
    </row>
    <row r="32" spans="1:9" s="7" customFormat="1" ht="25" customHeight="1">
      <c r="A32" s="4">
        <v>8</v>
      </c>
      <c r="B32" s="13" t="s">
        <v>24</v>
      </c>
      <c r="C32" s="14" t="s">
        <v>13</v>
      </c>
      <c r="D32" s="15">
        <f>D31</f>
        <v>16</v>
      </c>
      <c r="E32" s="5">
        <v>18.38</v>
      </c>
      <c r="F32" s="16">
        <f t="shared" si="0"/>
        <v>294.08</v>
      </c>
    </row>
    <row r="33" spans="1:6" s="7" customFormat="1" ht="25" customHeight="1">
      <c r="A33" s="4" t="s">
        <v>35</v>
      </c>
      <c r="B33" s="13" t="s">
        <v>49</v>
      </c>
      <c r="C33" s="14"/>
      <c r="D33" s="5"/>
      <c r="E33" s="5"/>
      <c r="F33" s="16"/>
    </row>
    <row r="34" spans="1:6" s="7" customFormat="1" ht="25" customHeight="1">
      <c r="A34" s="4">
        <v>1</v>
      </c>
      <c r="B34" s="13" t="s">
        <v>50</v>
      </c>
      <c r="C34" s="14" t="s">
        <v>10</v>
      </c>
      <c r="D34" s="5">
        <v>5</v>
      </c>
      <c r="E34" s="5">
        <v>176.53</v>
      </c>
      <c r="F34" s="16">
        <f t="shared" si="0"/>
        <v>882.65</v>
      </c>
    </row>
    <row r="35" spans="1:6" s="7" customFormat="1" ht="25" customHeight="1">
      <c r="A35" s="4">
        <v>2</v>
      </c>
      <c r="B35" s="13" t="s">
        <v>20</v>
      </c>
      <c r="C35" s="14" t="s">
        <v>10</v>
      </c>
      <c r="D35" s="18">
        <f>2.5*48.61*0.1</f>
        <v>12</v>
      </c>
      <c r="E35" s="5">
        <v>98.65</v>
      </c>
      <c r="F35" s="16">
        <f t="shared" si="0"/>
        <v>1183.8</v>
      </c>
    </row>
    <row r="36" spans="1:6" s="7" customFormat="1" ht="25" customHeight="1">
      <c r="A36" s="4">
        <v>3</v>
      </c>
      <c r="B36" s="13" t="s">
        <v>51</v>
      </c>
      <c r="C36" s="14" t="s">
        <v>10</v>
      </c>
      <c r="D36" s="15">
        <f>2.5*48.61*0.15</f>
        <v>18.23</v>
      </c>
      <c r="E36" s="5">
        <v>491.59</v>
      </c>
      <c r="F36" s="16">
        <f t="shared" si="0"/>
        <v>8961.69</v>
      </c>
    </row>
    <row r="37" spans="1:6" s="7" customFormat="1" ht="25" customHeight="1">
      <c r="A37" s="4">
        <v>4</v>
      </c>
      <c r="B37" s="13" t="s">
        <v>52</v>
      </c>
      <c r="C37" s="14" t="s">
        <v>10</v>
      </c>
      <c r="D37" s="15">
        <f>2.5*48.61*0.2</f>
        <v>24.31</v>
      </c>
      <c r="E37" s="5">
        <v>519.77</v>
      </c>
      <c r="F37" s="16">
        <f t="shared" si="0"/>
        <v>12635.61</v>
      </c>
    </row>
    <row r="38" spans="1:6" s="7" customFormat="1" ht="25" customHeight="1">
      <c r="A38" s="4" t="s">
        <v>37</v>
      </c>
      <c r="B38" s="13" t="s">
        <v>53</v>
      </c>
      <c r="C38" s="14"/>
      <c r="D38" s="5"/>
      <c r="E38" s="5"/>
      <c r="F38" s="16"/>
    </row>
    <row r="39" spans="1:6" s="7" customFormat="1" ht="25" customHeight="1">
      <c r="A39" s="4">
        <v>1</v>
      </c>
      <c r="B39" s="13" t="s">
        <v>19</v>
      </c>
      <c r="C39" s="14" t="s">
        <v>10</v>
      </c>
      <c r="D39" s="5">
        <f>(3.09*6.59+2.25*8.32+3.59*15)*0.2</f>
        <v>18.58662</v>
      </c>
      <c r="E39" s="5">
        <v>11.84</v>
      </c>
      <c r="F39" s="16">
        <f t="shared" si="0"/>
        <v>220.07</v>
      </c>
    </row>
    <row r="40" spans="1:6" s="7" customFormat="1" ht="25" customHeight="1">
      <c r="A40" s="4">
        <v>2</v>
      </c>
      <c r="B40" s="13" t="s">
        <v>20</v>
      </c>
      <c r="C40" s="14" t="s">
        <v>10</v>
      </c>
      <c r="D40" s="5">
        <f>(3.09*6.59+2.25*8.32+3.59*15)*0.8</f>
        <v>74.34648</v>
      </c>
      <c r="E40" s="5">
        <v>98.65</v>
      </c>
      <c r="F40" s="16">
        <f t="shared" si="0"/>
        <v>7334.28</v>
      </c>
    </row>
    <row r="41" spans="1:6" s="7" customFormat="1" ht="25" customHeight="1">
      <c r="A41" s="4">
        <v>3</v>
      </c>
      <c r="B41" s="13" t="s">
        <v>47</v>
      </c>
      <c r="C41" s="14" t="s">
        <v>10</v>
      </c>
      <c r="D41" s="5">
        <f>((0.21+0.35)*6.59+(0.34+0.15)*8.32+(0.55+0.17)*15)</f>
        <v>18.5672</v>
      </c>
      <c r="E41" s="5">
        <v>34.96</v>
      </c>
      <c r="F41" s="16">
        <f t="shared" si="0"/>
        <v>649.11</v>
      </c>
    </row>
    <row r="42" spans="1:6" s="7" customFormat="1" ht="25" customHeight="1">
      <c r="A42" s="4">
        <v>4</v>
      </c>
      <c r="B42" s="13" t="s">
        <v>22</v>
      </c>
      <c r="C42" s="14" t="s">
        <v>10</v>
      </c>
      <c r="D42" s="15">
        <f>((1.21+2.48)*6.59+(1.22+1.21)*8.32+(1.21+1.21)*15)</f>
        <v>80.83</v>
      </c>
      <c r="E42" s="5">
        <v>435.08</v>
      </c>
      <c r="F42" s="16">
        <f t="shared" si="0"/>
        <v>35167.519999999997</v>
      </c>
    </row>
    <row r="43" spans="1:6" s="7" customFormat="1" ht="25" customHeight="1">
      <c r="A43" s="4">
        <v>5</v>
      </c>
      <c r="B43" s="13" t="s">
        <v>51</v>
      </c>
      <c r="C43" s="14" t="s">
        <v>10</v>
      </c>
      <c r="D43" s="15">
        <f>29.91*2.5*0.15</f>
        <v>11.22</v>
      </c>
      <c r="E43" s="5">
        <v>491.59</v>
      </c>
      <c r="F43" s="16">
        <f t="shared" si="0"/>
        <v>5515.64</v>
      </c>
    </row>
    <row r="44" spans="1:6" s="7" customFormat="1" ht="25" customHeight="1">
      <c r="A44" s="4">
        <v>6</v>
      </c>
      <c r="B44" s="13" t="s">
        <v>52</v>
      </c>
      <c r="C44" s="14" t="s">
        <v>10</v>
      </c>
      <c r="D44" s="15">
        <f>29.91*2.5*0.2</f>
        <v>14.96</v>
      </c>
      <c r="E44" s="5">
        <v>519.77</v>
      </c>
      <c r="F44" s="16">
        <f t="shared" si="0"/>
        <v>7775.76</v>
      </c>
    </row>
    <row r="45" spans="1:6" s="7" customFormat="1" ht="25" customHeight="1">
      <c r="A45" s="4">
        <v>7</v>
      </c>
      <c r="B45" s="13" t="s">
        <v>23</v>
      </c>
      <c r="C45" s="14" t="s">
        <v>13</v>
      </c>
      <c r="D45" s="15">
        <f>((1.2+1.7)*6.59+(1.2+1.2)*8.32+(1.2+1.2)*15)</f>
        <v>75.08</v>
      </c>
      <c r="E45" s="5">
        <v>24.44</v>
      </c>
      <c r="F45" s="16">
        <f t="shared" si="0"/>
        <v>1834.96</v>
      </c>
    </row>
    <row r="46" spans="1:6" s="7" customFormat="1" ht="25" customHeight="1">
      <c r="A46" s="4">
        <v>8</v>
      </c>
      <c r="B46" s="13" t="s">
        <v>24</v>
      </c>
      <c r="C46" s="14" t="s">
        <v>13</v>
      </c>
      <c r="D46" s="15">
        <f>((1.2+1.7)*6.59+(1.2+1.2)*8.32+(1.2+1.2)*15)</f>
        <v>75.08</v>
      </c>
      <c r="E46" s="5">
        <v>18.38</v>
      </c>
      <c r="F46" s="16">
        <f t="shared" si="0"/>
        <v>1379.97</v>
      </c>
    </row>
    <row r="47" spans="1:6" s="7" customFormat="1" ht="25" customHeight="1">
      <c r="A47" s="4" t="s">
        <v>38</v>
      </c>
      <c r="B47" s="13" t="s">
        <v>54</v>
      </c>
      <c r="C47" s="14"/>
      <c r="D47" s="5"/>
      <c r="E47" s="5"/>
      <c r="F47" s="16"/>
    </row>
    <row r="48" spans="1:6" s="7" customFormat="1" ht="25" customHeight="1">
      <c r="A48" s="4" t="s">
        <v>33</v>
      </c>
      <c r="B48" s="13" t="s">
        <v>26</v>
      </c>
      <c r="C48" s="14"/>
      <c r="D48" s="5"/>
      <c r="E48" s="5"/>
      <c r="F48" s="16"/>
    </row>
    <row r="49" spans="1:6" s="7" customFormat="1" ht="25" customHeight="1">
      <c r="A49" s="4">
        <v>1</v>
      </c>
      <c r="B49" s="13" t="s">
        <v>55</v>
      </c>
      <c r="C49" s="14" t="s">
        <v>10</v>
      </c>
      <c r="D49" s="5">
        <f>23*1.5*0.1</f>
        <v>3.45</v>
      </c>
      <c r="E49" s="5">
        <v>176.53</v>
      </c>
      <c r="F49" s="16">
        <f t="shared" si="0"/>
        <v>609.03</v>
      </c>
    </row>
    <row r="50" spans="1:6" s="7" customFormat="1" ht="25" customHeight="1">
      <c r="A50" s="4">
        <v>2</v>
      </c>
      <c r="B50" s="13" t="s">
        <v>60</v>
      </c>
      <c r="C50" s="14" t="s">
        <v>10</v>
      </c>
      <c r="D50" s="15">
        <f>2.1853*23</f>
        <v>50.26</v>
      </c>
      <c r="E50" s="5">
        <v>40.64</v>
      </c>
      <c r="F50" s="16">
        <f t="shared" si="0"/>
        <v>2042.57</v>
      </c>
    </row>
    <row r="51" spans="1:6" s="7" customFormat="1" ht="25" customHeight="1">
      <c r="A51" s="4">
        <v>3</v>
      </c>
      <c r="B51" s="13" t="s">
        <v>27</v>
      </c>
      <c r="C51" s="14" t="s">
        <v>10</v>
      </c>
      <c r="D51" s="5">
        <f>23*0.9*0.1</f>
        <v>2.0699999999999998</v>
      </c>
      <c r="E51" s="5">
        <v>201.16</v>
      </c>
      <c r="F51" s="16">
        <f t="shared" si="0"/>
        <v>416.4</v>
      </c>
    </row>
    <row r="52" spans="1:6" s="7" customFormat="1" ht="25" customHeight="1">
      <c r="A52" s="4">
        <v>4</v>
      </c>
      <c r="B52" s="13" t="s">
        <v>28</v>
      </c>
      <c r="C52" s="14" t="s">
        <v>13</v>
      </c>
      <c r="D52" s="5">
        <f>23*0.9</f>
        <v>20.7</v>
      </c>
      <c r="E52" s="5">
        <v>56.85</v>
      </c>
      <c r="F52" s="16">
        <f t="shared" si="0"/>
        <v>1176.8</v>
      </c>
    </row>
    <row r="53" spans="1:6" s="7" customFormat="1" ht="25" customHeight="1">
      <c r="A53" s="4">
        <v>5</v>
      </c>
      <c r="B53" s="13" t="s">
        <v>29</v>
      </c>
      <c r="C53" s="14" t="s">
        <v>10</v>
      </c>
      <c r="D53" s="5">
        <f>23*0.3*0.3</f>
        <v>2.0699999999999998</v>
      </c>
      <c r="E53" s="5">
        <v>435.08</v>
      </c>
      <c r="F53" s="16">
        <f t="shared" si="0"/>
        <v>900.62</v>
      </c>
    </row>
    <row r="54" spans="1:6" s="7" customFormat="1" ht="25" customHeight="1">
      <c r="A54" s="4">
        <v>6</v>
      </c>
      <c r="B54" s="13" t="s">
        <v>23</v>
      </c>
      <c r="C54" s="14" t="s">
        <v>13</v>
      </c>
      <c r="D54" s="5">
        <f>23*0.45</f>
        <v>10.35</v>
      </c>
      <c r="E54" s="5">
        <v>24.44</v>
      </c>
      <c r="F54" s="16">
        <f t="shared" si="0"/>
        <v>252.95</v>
      </c>
    </row>
    <row r="55" spans="1:6" s="7" customFormat="1" ht="25" customHeight="1">
      <c r="A55" s="4">
        <v>7</v>
      </c>
      <c r="B55" s="13" t="s">
        <v>24</v>
      </c>
      <c r="C55" s="14" t="s">
        <v>13</v>
      </c>
      <c r="D55" s="5">
        <f>23*0.45</f>
        <v>10.35</v>
      </c>
      <c r="E55" s="5">
        <v>18.38</v>
      </c>
      <c r="F55" s="16">
        <f t="shared" si="0"/>
        <v>190.23</v>
      </c>
    </row>
    <row r="56" spans="1:6" s="7" customFormat="1" ht="25" customHeight="1">
      <c r="A56" s="4" t="s">
        <v>35</v>
      </c>
      <c r="B56" s="13" t="s">
        <v>56</v>
      </c>
      <c r="C56" s="14"/>
      <c r="D56" s="5"/>
      <c r="E56" s="5"/>
      <c r="F56" s="16"/>
    </row>
    <row r="57" spans="1:6" s="7" customFormat="1" ht="25" customHeight="1">
      <c r="A57" s="4">
        <v>1</v>
      </c>
      <c r="B57" s="13" t="s">
        <v>19</v>
      </c>
      <c r="C57" s="14" t="s">
        <v>10</v>
      </c>
      <c r="D57" s="5">
        <f>0.71*10*0.4</f>
        <v>2.84</v>
      </c>
      <c r="E57" s="5">
        <v>11.84</v>
      </c>
      <c r="F57" s="16">
        <f t="shared" si="0"/>
        <v>33.630000000000003</v>
      </c>
    </row>
    <row r="58" spans="1:6" s="7" customFormat="1" ht="25" customHeight="1">
      <c r="A58" s="4">
        <v>2</v>
      </c>
      <c r="B58" s="13" t="s">
        <v>20</v>
      </c>
      <c r="C58" s="14" t="s">
        <v>10</v>
      </c>
      <c r="D58" s="5">
        <f>0.71*10*0.6</f>
        <v>4.26</v>
      </c>
      <c r="E58" s="5">
        <v>98.65</v>
      </c>
      <c r="F58" s="16">
        <f t="shared" si="0"/>
        <v>420.25</v>
      </c>
    </row>
    <row r="59" spans="1:6" s="7" customFormat="1" ht="25" customHeight="1">
      <c r="A59" s="4">
        <v>3</v>
      </c>
      <c r="B59" s="13" t="s">
        <v>57</v>
      </c>
      <c r="C59" s="14" t="s">
        <v>10</v>
      </c>
      <c r="D59" s="15">
        <f>6.02*12.97</f>
        <v>78.08</v>
      </c>
      <c r="E59" s="5">
        <v>34.96</v>
      </c>
      <c r="F59" s="16">
        <f t="shared" si="0"/>
        <v>2729.68</v>
      </c>
    </row>
    <row r="60" spans="1:6" s="7" customFormat="1" ht="25" customHeight="1">
      <c r="A60" s="4">
        <v>4</v>
      </c>
      <c r="B60" s="13" t="s">
        <v>58</v>
      </c>
      <c r="C60" s="14" t="s">
        <v>10</v>
      </c>
      <c r="D60" s="5">
        <f>1.32*10</f>
        <v>13.2</v>
      </c>
      <c r="E60" s="5">
        <v>270.13</v>
      </c>
      <c r="F60" s="16">
        <f t="shared" si="0"/>
        <v>3565.72</v>
      </c>
    </row>
    <row r="61" spans="1:6" s="7" customFormat="1" ht="25" customHeight="1">
      <c r="A61" s="4" t="s">
        <v>37</v>
      </c>
      <c r="B61" s="13" t="s">
        <v>30</v>
      </c>
      <c r="C61" s="14"/>
      <c r="D61" s="5"/>
      <c r="E61" s="5"/>
      <c r="F61" s="16"/>
    </row>
    <row r="62" spans="1:6" s="7" customFormat="1" ht="25" customHeight="1">
      <c r="A62" s="4">
        <v>1</v>
      </c>
      <c r="B62" s="13" t="s">
        <v>19</v>
      </c>
      <c r="C62" s="14" t="s">
        <v>10</v>
      </c>
      <c r="D62" s="5">
        <v>5</v>
      </c>
      <c r="E62" s="5">
        <v>11.84</v>
      </c>
      <c r="F62" s="16">
        <f t="shared" si="0"/>
        <v>59.2</v>
      </c>
    </row>
    <row r="63" spans="1:6" s="7" customFormat="1" ht="25" customHeight="1">
      <c r="A63" s="4">
        <v>2</v>
      </c>
      <c r="B63" s="13" t="s">
        <v>20</v>
      </c>
      <c r="C63" s="14" t="s">
        <v>10</v>
      </c>
      <c r="D63" s="5">
        <v>3</v>
      </c>
      <c r="E63" s="5">
        <v>98.65</v>
      </c>
      <c r="F63" s="16">
        <f t="shared" si="0"/>
        <v>295.95</v>
      </c>
    </row>
    <row r="64" spans="1:6" s="7" customFormat="1" ht="25" customHeight="1">
      <c r="A64" s="4">
        <v>3</v>
      </c>
      <c r="B64" s="13" t="s">
        <v>22</v>
      </c>
      <c r="C64" s="14" t="s">
        <v>10</v>
      </c>
      <c r="D64" s="15">
        <f>2.346*1.5+2.28*8.5</f>
        <v>22.9</v>
      </c>
      <c r="E64" s="5">
        <v>435.08</v>
      </c>
      <c r="F64" s="16">
        <f t="shared" si="0"/>
        <v>9963.33</v>
      </c>
    </row>
    <row r="65" spans="1:6" s="7" customFormat="1" ht="25" customHeight="1">
      <c r="A65" s="4">
        <v>4</v>
      </c>
      <c r="B65" s="13" t="s">
        <v>31</v>
      </c>
      <c r="C65" s="14" t="s">
        <v>10</v>
      </c>
      <c r="D65" s="5">
        <f>2.8*10*0.1</f>
        <v>2.8</v>
      </c>
      <c r="E65" s="5">
        <v>513.96</v>
      </c>
      <c r="F65" s="16">
        <f t="shared" si="0"/>
        <v>1439.09</v>
      </c>
    </row>
    <row r="66" spans="1:6" s="7" customFormat="1" ht="25" customHeight="1">
      <c r="A66" s="4">
        <v>5</v>
      </c>
      <c r="B66" s="13" t="s">
        <v>59</v>
      </c>
      <c r="C66" s="14" t="s">
        <v>10</v>
      </c>
      <c r="D66" s="15">
        <f>1.5*3.4*0.12</f>
        <v>0.61</v>
      </c>
      <c r="E66" s="5">
        <v>690.81</v>
      </c>
      <c r="F66" s="16">
        <f t="shared" si="0"/>
        <v>421.39</v>
      </c>
    </row>
    <row r="67" spans="1:6" s="7" customFormat="1" ht="25" customHeight="1">
      <c r="A67" s="4">
        <v>6</v>
      </c>
      <c r="B67" s="13" t="s">
        <v>23</v>
      </c>
      <c r="C67" s="14" t="s">
        <v>13</v>
      </c>
      <c r="D67" s="5">
        <f>0.8*2*10</f>
        <v>16</v>
      </c>
      <c r="E67" s="5">
        <v>24.44</v>
      </c>
      <c r="F67" s="16">
        <f t="shared" si="0"/>
        <v>391.04</v>
      </c>
    </row>
    <row r="68" spans="1:6" s="7" customFormat="1" ht="25" customHeight="1">
      <c r="A68" s="4">
        <v>7</v>
      </c>
      <c r="B68" s="13" t="s">
        <v>24</v>
      </c>
      <c r="C68" s="14" t="s">
        <v>13</v>
      </c>
      <c r="D68" s="5">
        <f>0.8*2*10</f>
        <v>16</v>
      </c>
      <c r="E68" s="5">
        <v>18.38</v>
      </c>
      <c r="F68" s="16">
        <f t="shared" si="0"/>
        <v>294.08</v>
      </c>
    </row>
    <row r="69" spans="1:6" s="11" customFormat="1" ht="32.15" customHeight="1">
      <c r="A69" s="20" t="s">
        <v>16</v>
      </c>
      <c r="B69" s="21" t="s">
        <v>32</v>
      </c>
      <c r="C69" s="9"/>
      <c r="D69" s="9"/>
      <c r="E69" s="9"/>
      <c r="F69" s="22">
        <f>SUM(F70:F70)</f>
        <v>6157.45</v>
      </c>
    </row>
    <row r="70" spans="1:6" s="7" customFormat="1" ht="32.15" customHeight="1">
      <c r="A70" s="3">
        <v>1</v>
      </c>
      <c r="B70" s="13" t="s">
        <v>11</v>
      </c>
      <c r="C70" s="5" t="s">
        <v>8</v>
      </c>
      <c r="D70" s="5">
        <v>3</v>
      </c>
      <c r="E70" s="5">
        <f>F5</f>
        <v>205248.44</v>
      </c>
      <c r="F70" s="6">
        <f t="shared" ref="F70" si="1">ROUND(D70%*E70,2)</f>
        <v>6157.45</v>
      </c>
    </row>
    <row r="71" spans="1:6" s="11" customFormat="1" ht="32.15" customHeight="1">
      <c r="A71" s="20" t="s">
        <v>17</v>
      </c>
      <c r="B71" s="21" t="s">
        <v>9</v>
      </c>
      <c r="C71" s="9"/>
      <c r="D71" s="9"/>
      <c r="E71" s="9"/>
      <c r="F71" s="22">
        <f>F72</f>
        <v>4228.12</v>
      </c>
    </row>
    <row r="72" spans="1:6" s="7" customFormat="1" ht="32.15" customHeight="1">
      <c r="A72" s="3">
        <v>1</v>
      </c>
      <c r="B72" s="13" t="s">
        <v>12</v>
      </c>
      <c r="C72" s="5" t="s">
        <v>8</v>
      </c>
      <c r="D72" s="5">
        <v>2</v>
      </c>
      <c r="E72" s="5">
        <f>F5+F69</f>
        <v>211405.89</v>
      </c>
      <c r="F72" s="6">
        <f>ROUND(D72%*E72,2)</f>
        <v>4228.12</v>
      </c>
    </row>
  </sheetData>
  <autoFilter ref="A5:B72" xr:uid="{00000000-0001-0000-0000-000000000000}"/>
  <mergeCells count="5">
    <mergeCell ref="A4:B4"/>
    <mergeCell ref="A1:F1"/>
    <mergeCell ref="A2:B2"/>
    <mergeCell ref="C2:D2"/>
    <mergeCell ref="E2:F2"/>
  </mergeCells>
  <phoneticPr fontId="7" type="noConversion"/>
  <printOptions horizontalCentered="1"/>
  <pageMargins left="0.39305555555555599" right="0.39305555555555599" top="0.59375" bottom="0.39305555555555599" header="0.59375" footer="0.196527777777778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璧山区2024年正兴镇全费用综合单价审核表</vt:lpstr>
      <vt:lpstr>璧山区2024年正兴镇全费用综合单价审核表!Print_Titles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宗川 陈</cp:lastModifiedBy>
  <cp:lastPrinted>2024-09-19T02:41:28Z</cp:lastPrinted>
  <dcterms:created xsi:type="dcterms:W3CDTF">2020-05-27T16:38:00Z</dcterms:created>
  <dcterms:modified xsi:type="dcterms:W3CDTF">2024-09-19T02:46:49Z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5CC2B197C6EB46D99EFB9C9EA6122EC6</vt:lpwstr>
  </property>
</Properties>
</file>